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cruz\Desktop\AUDITORIA EXTERNA\informes\"/>
    </mc:Choice>
  </mc:AlternateContent>
  <xr:revisionPtr revIDLastSave="0" documentId="8_{158AA8D4-3499-4CC6-AD6C-5AD6D7D4BB60}" xr6:coauthVersionLast="47" xr6:coauthVersionMax="47" xr10:uidLastSave="{00000000-0000-0000-0000-000000000000}"/>
  <bookViews>
    <workbookView xWindow="3030" yWindow="3030" windowWidth="21600" windowHeight="12585" firstSheet="1" activeTab="6" xr2:uid="{00000000-000D-0000-FFFF-FFFF00000000}"/>
  </bookViews>
  <sheets>
    <sheet name="clasificador economico" sheetId="16" r:id="rId1"/>
    <sheet name="Peso de egresos por Partida" sheetId="2" r:id="rId2"/>
    <sheet name="Comparativo de egresos" sheetId="3" r:id="rId3"/>
    <sheet name="Gastos por Unidad" sheetId="4" r:id="rId4"/>
    <sheet name="Gastos por partida" sheetId="5" r:id="rId5"/>
    <sheet name="Egresos por Dirección" sheetId="7" r:id="rId6"/>
    <sheet name="Gastos detallado" sheetId="14" r:id="rId7"/>
    <sheet name="Nivel de Partida" sheetId="17" r:id="rId8"/>
    <sheet name="Detalle por Dirección" sheetId="18" r:id="rId9"/>
    <sheet name="Balance de Situación" sheetId="20" r:id="rId10"/>
    <sheet name="Rendimiento Financiero" sheetId="21" r:id="rId11"/>
    <sheet name="Hoja3" sheetId="24" r:id="rId12"/>
    <sheet name="Inversiones" sheetId="2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2" i="4"/>
  <c r="B6" i="4"/>
  <c r="B15" i="4"/>
  <c r="B12" i="4"/>
  <c r="D10" i="5"/>
  <c r="B5" i="5"/>
  <c r="B4" i="5"/>
  <c r="C5" i="3"/>
  <c r="C6" i="2"/>
  <c r="D36" i="20"/>
  <c r="B36" i="20"/>
  <c r="C36" i="20"/>
  <c r="H216" i="14" l="1"/>
  <c r="H217" i="14"/>
  <c r="J244" i="14"/>
  <c r="I244" i="14"/>
  <c r="H244" i="14"/>
  <c r="G244" i="14"/>
  <c r="F244" i="14"/>
  <c r="E244" i="14"/>
  <c r="D244" i="14"/>
  <c r="C244" i="14"/>
  <c r="B244" i="14"/>
  <c r="L245" i="14"/>
  <c r="K245" i="14"/>
  <c r="H245" i="14"/>
  <c r="D245" i="14"/>
  <c r="H56" i="14"/>
  <c r="H57" i="14"/>
  <c r="H58" i="14"/>
  <c r="H59" i="14"/>
  <c r="H60" i="14"/>
  <c r="H61" i="14"/>
  <c r="H123" i="16"/>
  <c r="O16" i="16"/>
  <c r="L173" i="14"/>
  <c r="J257" i="14"/>
  <c r="J316" i="14"/>
  <c r="J315" i="14" s="1"/>
  <c r="J312" i="14"/>
  <c r="J309" i="14"/>
  <c r="J305" i="14"/>
  <c r="J302" i="14"/>
  <c r="J297" i="14"/>
  <c r="J292" i="14"/>
  <c r="J283" i="14"/>
  <c r="J273" i="14"/>
  <c r="J269" i="14"/>
  <c r="J260" i="14"/>
  <c r="J252" i="14"/>
  <c r="J248" i="14"/>
  <c r="J235" i="14"/>
  <c r="J231" i="14"/>
  <c r="J228" i="14"/>
  <c r="J222" i="14"/>
  <c r="J215" i="14"/>
  <c r="J210" i="14"/>
  <c r="J204" i="14"/>
  <c r="J197" i="14"/>
  <c r="J190" i="14"/>
  <c r="J186" i="14"/>
  <c r="J179" i="14"/>
  <c r="J174" i="14"/>
  <c r="J170" i="14"/>
  <c r="J55" i="14"/>
  <c r="J69" i="14"/>
  <c r="J48" i="14"/>
  <c r="J155" i="14"/>
  <c r="J154" i="14" s="1"/>
  <c r="J150" i="14"/>
  <c r="J146" i="14"/>
  <c r="J143" i="14"/>
  <c r="J139" i="14"/>
  <c r="J135" i="14"/>
  <c r="J125" i="14"/>
  <c r="J114" i="14"/>
  <c r="J110" i="14"/>
  <c r="J101" i="14"/>
  <c r="J98" i="14"/>
  <c r="J92" i="14"/>
  <c r="J87" i="14"/>
  <c r="J84" i="14"/>
  <c r="J77" i="14"/>
  <c r="J72" i="14"/>
  <c r="J63" i="14"/>
  <c r="J42" i="14"/>
  <c r="J36" i="14"/>
  <c r="J29" i="14"/>
  <c r="J25" i="14"/>
  <c r="J18" i="14"/>
  <c r="J13" i="14"/>
  <c r="J9" i="14"/>
  <c r="C7" i="5"/>
  <c r="C6" i="5"/>
  <c r="C5" i="5"/>
  <c r="D9" i="3"/>
  <c r="D8" i="3"/>
  <c r="D7" i="3"/>
  <c r="D6" i="3"/>
  <c r="D5" i="3"/>
  <c r="D13" i="2"/>
  <c r="J300" i="14" l="1"/>
  <c r="J282" i="14"/>
  <c r="J251" i="14"/>
  <c r="J196" i="14"/>
  <c r="J169" i="14"/>
  <c r="J142" i="14"/>
  <c r="J124" i="14"/>
  <c r="J91" i="14"/>
  <c r="J35" i="14"/>
  <c r="J8" i="14"/>
  <c r="N129" i="16"/>
  <c r="N121" i="16"/>
  <c r="N113" i="16"/>
  <c r="N86" i="16"/>
  <c r="N54" i="16"/>
  <c r="N44" i="16"/>
  <c r="N36" i="16" s="1"/>
  <c r="N37" i="16"/>
  <c r="N25" i="16"/>
  <c r="N18" i="16"/>
  <c r="N10" i="16" s="1"/>
  <c r="N11" i="16"/>
  <c r="P134" i="16"/>
  <c r="P117" i="16"/>
  <c r="P116" i="16"/>
  <c r="P115" i="16"/>
  <c r="P90" i="16"/>
  <c r="P89" i="16"/>
  <c r="P78" i="16"/>
  <c r="N271" i="16"/>
  <c r="N244" i="16"/>
  <c r="N301" i="16"/>
  <c r="N282" i="16"/>
  <c r="N216" i="16"/>
  <c r="N161" i="16"/>
  <c r="N151" i="16"/>
  <c r="N142" i="16"/>
  <c r="N136" i="16"/>
  <c r="N102" i="16"/>
  <c r="N97" i="16"/>
  <c r="N92" i="16"/>
  <c r="N77" i="16"/>
  <c r="N61" i="16"/>
  <c r="N68" i="16"/>
  <c r="R49" i="16"/>
  <c r="R47" i="16"/>
  <c r="R46" i="16"/>
  <c r="R45" i="16"/>
  <c r="H262" i="16"/>
  <c r="J320" i="14" l="1"/>
  <c r="J158" i="14"/>
  <c r="N52" i="16"/>
  <c r="N9" i="16"/>
  <c r="N281" i="16"/>
  <c r="N270" i="16" s="1"/>
  <c r="N268" i="16" s="1"/>
  <c r="N127" i="16"/>
  <c r="I150" i="14"/>
  <c r="G150" i="14"/>
  <c r="F150" i="14"/>
  <c r="E150" i="14"/>
  <c r="C150" i="14"/>
  <c r="B150" i="14"/>
  <c r="H152" i="14"/>
  <c r="K152" i="14" s="1"/>
  <c r="D152" i="14"/>
  <c r="G4" i="7"/>
  <c r="F4" i="7"/>
  <c r="B4" i="7"/>
  <c r="D12" i="21"/>
  <c r="D35" i="20"/>
  <c r="L152" i="14" l="1"/>
  <c r="J322" i="14"/>
  <c r="N51" i="16"/>
  <c r="N8" i="16" s="1"/>
  <c r="N7" i="16" s="1"/>
  <c r="N385" i="16" s="1"/>
  <c r="L21" i="16"/>
  <c r="L20" i="16"/>
  <c r="L302" i="16"/>
  <c r="L290" i="16"/>
  <c r="L286" i="16"/>
  <c r="L283" i="16"/>
  <c r="L45" i="16"/>
  <c r="O45" i="16" s="1"/>
  <c r="I9" i="14"/>
  <c r="I13" i="14"/>
  <c r="I18" i="14"/>
  <c r="I25" i="14"/>
  <c r="I29" i="14"/>
  <c r="I36" i="14"/>
  <c r="I42" i="14"/>
  <c r="I48" i="14"/>
  <c r="I55" i="14"/>
  <c r="I63" i="14"/>
  <c r="I69" i="14"/>
  <c r="I72" i="14"/>
  <c r="I77" i="14"/>
  <c r="I87" i="14"/>
  <c r="I92" i="14"/>
  <c r="I101" i="14"/>
  <c r="I110" i="14"/>
  <c r="I114" i="14"/>
  <c r="I125" i="14"/>
  <c r="I135" i="14"/>
  <c r="I139" i="14"/>
  <c r="I143" i="14"/>
  <c r="I146" i="14"/>
  <c r="F36" i="14"/>
  <c r="G36" i="14"/>
  <c r="E36" i="14"/>
  <c r="H11" i="18"/>
  <c r="H10" i="18" s="1"/>
  <c r="I20" i="18"/>
  <c r="M244" i="16"/>
  <c r="L246" i="16"/>
  <c r="O246" i="16" s="1"/>
  <c r="P246" i="16" s="1"/>
  <c r="L249" i="16"/>
  <c r="O249" i="16" s="1"/>
  <c r="H246" i="16"/>
  <c r="H247" i="16"/>
  <c r="L247" i="16" s="1"/>
  <c r="O247" i="16" s="1"/>
  <c r="P247" i="16" s="1"/>
  <c r="H248" i="16"/>
  <c r="L248" i="16" s="1"/>
  <c r="O248" i="16" s="1"/>
  <c r="P248" i="16" s="1"/>
  <c r="H249" i="16"/>
  <c r="P221" i="16"/>
  <c r="L220" i="16"/>
  <c r="O220" i="16"/>
  <c r="H220" i="16"/>
  <c r="G44" i="16"/>
  <c r="I44" i="16"/>
  <c r="J44" i="16"/>
  <c r="K44" i="16"/>
  <c r="M44" i="16"/>
  <c r="F44" i="16"/>
  <c r="H45" i="16"/>
  <c r="H261" i="16"/>
  <c r="P261" i="16" s="1"/>
  <c r="L261" i="16"/>
  <c r="F22" i="4"/>
  <c r="C26" i="4"/>
  <c r="D15" i="18"/>
  <c r="E305" i="14"/>
  <c r="C260" i="14"/>
  <c r="C273" i="14"/>
  <c r="C297" i="14"/>
  <c r="C283" i="14"/>
  <c r="C305" i="14"/>
  <c r="F305" i="14"/>
  <c r="G305" i="14"/>
  <c r="I305" i="14"/>
  <c r="B305" i="14"/>
  <c r="H307" i="14"/>
  <c r="K307" i="14" s="1"/>
  <c r="D307" i="14"/>
  <c r="E9" i="14"/>
  <c r="H192" i="14"/>
  <c r="K192" i="14" s="1"/>
  <c r="D192" i="14"/>
  <c r="B190" i="14"/>
  <c r="B9" i="14"/>
  <c r="B13" i="14"/>
  <c r="B18" i="14"/>
  <c r="B25" i="14"/>
  <c r="B29" i="14"/>
  <c r="B36" i="14"/>
  <c r="B42" i="14"/>
  <c r="C48" i="14"/>
  <c r="B48" i="14"/>
  <c r="C55" i="14"/>
  <c r="C63" i="14"/>
  <c r="B55" i="14"/>
  <c r="B63" i="14"/>
  <c r="B69" i="14"/>
  <c r="B72" i="14"/>
  <c r="B77" i="14"/>
  <c r="B87" i="14"/>
  <c r="B84" i="14"/>
  <c r="B92" i="14"/>
  <c r="B125" i="14"/>
  <c r="B114" i="14"/>
  <c r="B110" i="14"/>
  <c r="B101" i="14"/>
  <c r="B139" i="14"/>
  <c r="B146" i="14"/>
  <c r="C13" i="14"/>
  <c r="G146" i="14"/>
  <c r="F146" i="14"/>
  <c r="E146" i="14"/>
  <c r="C146" i="14"/>
  <c r="H147" i="14"/>
  <c r="K147" i="14" s="1"/>
  <c r="D147" i="14"/>
  <c r="H144" i="14"/>
  <c r="K144" i="14" s="1"/>
  <c r="K143" i="14" s="1"/>
  <c r="D144" i="14"/>
  <c r="G143" i="14"/>
  <c r="F143" i="14"/>
  <c r="E143" i="14"/>
  <c r="C143" i="14"/>
  <c r="B143" i="14"/>
  <c r="D73" i="14"/>
  <c r="D74" i="14"/>
  <c r="H31" i="14"/>
  <c r="K31" i="14" s="1"/>
  <c r="D31" i="14"/>
  <c r="D10" i="14"/>
  <c r="L192" i="14" l="1"/>
  <c r="L307" i="14"/>
  <c r="L147" i="14"/>
  <c r="L144" i="14"/>
  <c r="L143" i="14" s="1"/>
  <c r="L31" i="14"/>
  <c r="P249" i="16"/>
  <c r="P220" i="16"/>
  <c r="P45" i="16"/>
  <c r="I124" i="14"/>
  <c r="B142" i="14"/>
  <c r="I8" i="14"/>
  <c r="B35" i="14"/>
  <c r="B8" i="14"/>
  <c r="H143" i="14"/>
  <c r="D143" i="14"/>
  <c r="K295" i="14" l="1"/>
  <c r="D9" i="5"/>
  <c r="D8" i="5"/>
  <c r="F8" i="5" s="1"/>
  <c r="D7" i="5"/>
  <c r="F7" i="5" s="1"/>
  <c r="D6" i="5"/>
  <c r="F6" i="5" s="1"/>
  <c r="D5" i="5"/>
  <c r="F5" i="5" s="1"/>
  <c r="D4" i="5"/>
  <c r="F4" i="5" s="1"/>
  <c r="E9" i="5" l="1"/>
  <c r="P382" i="16"/>
  <c r="P311" i="16"/>
  <c r="I292" i="14" l="1"/>
  <c r="G292" i="14"/>
  <c r="F292" i="14"/>
  <c r="E292" i="14"/>
  <c r="D295" i="14"/>
  <c r="L295" i="14" s="1"/>
  <c r="B292" i="14"/>
  <c r="C292" i="14"/>
  <c r="E316" i="14"/>
  <c r="E315" i="14" s="1"/>
  <c r="E14" i="17" s="1"/>
  <c r="E312" i="14"/>
  <c r="E309" i="14"/>
  <c r="E302" i="14"/>
  <c r="E297" i="14"/>
  <c r="E283" i="14"/>
  <c r="E273" i="14"/>
  <c r="E269" i="14"/>
  <c r="E260" i="14"/>
  <c r="E257" i="14"/>
  <c r="E252" i="14"/>
  <c r="E248" i="14"/>
  <c r="E235" i="14"/>
  <c r="E231" i="14"/>
  <c r="E228" i="14"/>
  <c r="E222" i="14"/>
  <c r="E215" i="14"/>
  <c r="E210" i="14"/>
  <c r="E204" i="14"/>
  <c r="E197" i="14"/>
  <c r="E190" i="14"/>
  <c r="E186" i="14"/>
  <c r="E179" i="14"/>
  <c r="E174" i="14"/>
  <c r="E170" i="14"/>
  <c r="E155" i="14"/>
  <c r="E154" i="14" s="1"/>
  <c r="E15" i="17" s="1"/>
  <c r="E142" i="14"/>
  <c r="E139" i="14"/>
  <c r="E135" i="14"/>
  <c r="E125" i="14"/>
  <c r="E114" i="14"/>
  <c r="E110" i="14"/>
  <c r="E101" i="14"/>
  <c r="E98" i="14"/>
  <c r="E92" i="14"/>
  <c r="E87" i="14"/>
  <c r="E84" i="14"/>
  <c r="E77" i="14"/>
  <c r="E72" i="14"/>
  <c r="E69" i="14"/>
  <c r="E63" i="14"/>
  <c r="E55" i="14"/>
  <c r="E48" i="14"/>
  <c r="E42" i="14"/>
  <c r="E29" i="14"/>
  <c r="E25" i="14"/>
  <c r="E18" i="14"/>
  <c r="E13" i="14"/>
  <c r="E8" i="14" l="1"/>
  <c r="E91" i="14"/>
  <c r="E282" i="14"/>
  <c r="E35" i="14"/>
  <c r="E300" i="14"/>
  <c r="E13" i="17" s="1"/>
  <c r="E251" i="14"/>
  <c r="E124" i="14"/>
  <c r="E12" i="17" s="1"/>
  <c r="E169" i="14"/>
  <c r="E196" i="14"/>
  <c r="E9" i="17" l="1"/>
  <c r="E11" i="17"/>
  <c r="E10" i="17"/>
  <c r="E158" i="14"/>
  <c r="E320" i="14"/>
  <c r="E322" i="14" l="1"/>
  <c r="F11" i="16"/>
  <c r="F18" i="16"/>
  <c r="F25" i="16"/>
  <c r="F32" i="16"/>
  <c r="F37" i="16"/>
  <c r="F54" i="16"/>
  <c r="F61" i="16"/>
  <c r="F68" i="16"/>
  <c r="F77" i="16"/>
  <c r="F86" i="16"/>
  <c r="F92" i="16"/>
  <c r="F97" i="16"/>
  <c r="F102" i="16"/>
  <c r="F113" i="16"/>
  <c r="F121" i="16"/>
  <c r="F129" i="16"/>
  <c r="F136" i="16"/>
  <c r="F142" i="16"/>
  <c r="F151" i="16"/>
  <c r="F155" i="16"/>
  <c r="F161" i="16"/>
  <c r="F173" i="16"/>
  <c r="F181" i="16"/>
  <c r="F186" i="16"/>
  <c r="F190" i="16"/>
  <c r="F199" i="16"/>
  <c r="F203" i="16"/>
  <c r="F206" i="16"/>
  <c r="F210" i="16"/>
  <c r="F213" i="16"/>
  <c r="F217" i="16"/>
  <c r="F228" i="16"/>
  <c r="F231" i="16"/>
  <c r="F238" i="16"/>
  <c r="F255" i="16"/>
  <c r="F251" i="16" s="1"/>
  <c r="F257" i="16"/>
  <c r="F260" i="16"/>
  <c r="F264" i="16"/>
  <c r="F271" i="16"/>
  <c r="F282" i="16"/>
  <c r="F292" i="16"/>
  <c r="F295" i="16"/>
  <c r="F301" i="16"/>
  <c r="F303" i="16"/>
  <c r="F309" i="16"/>
  <c r="F318" i="16"/>
  <c r="F321" i="16"/>
  <c r="F327" i="16"/>
  <c r="F330" i="16"/>
  <c r="F335" i="16"/>
  <c r="F345" i="16"/>
  <c r="F356" i="16"/>
  <c r="F360" i="16"/>
  <c r="F369" i="16"/>
  <c r="F373" i="16"/>
  <c r="F376" i="16"/>
  <c r="F381" i="16"/>
  <c r="F380" i="16" s="1"/>
  <c r="F244" i="16" l="1"/>
  <c r="F237" i="16" s="1"/>
  <c r="F216" i="16" s="1"/>
  <c r="F185" i="16"/>
  <c r="F10" i="16"/>
  <c r="F127" i="16"/>
  <c r="F355" i="16"/>
  <c r="F334" i="16"/>
  <c r="F281" i="16"/>
  <c r="F270" i="16" s="1"/>
  <c r="F171" i="16"/>
  <c r="F308" i="16"/>
  <c r="F179" i="16"/>
  <c r="F52" i="16"/>
  <c r="F36" i="16"/>
  <c r="F9" i="16"/>
  <c r="C33" i="24"/>
  <c r="C34" i="24" s="1"/>
  <c r="D33" i="24" s="1"/>
  <c r="D19" i="24"/>
  <c r="C19" i="24"/>
  <c r="D18" i="24" s="1"/>
  <c r="F51" i="16" l="1"/>
  <c r="F268" i="16"/>
  <c r="D32" i="24"/>
  <c r="D34" i="24" s="1"/>
  <c r="F8" i="16" l="1"/>
  <c r="F7" i="16" s="1"/>
  <c r="F385" i="16" s="1"/>
  <c r="D23" i="21"/>
  <c r="E23" i="21" s="1"/>
  <c r="D13" i="21"/>
  <c r="E13" i="21" s="1"/>
  <c r="B15" i="21"/>
  <c r="H52" i="14" l="1"/>
  <c r="H318" i="14"/>
  <c r="K318" i="14" s="1"/>
  <c r="H317" i="14"/>
  <c r="H313" i="14"/>
  <c r="K313" i="14" s="1"/>
  <c r="H310" i="14"/>
  <c r="H306" i="14"/>
  <c r="H305" i="14" s="1"/>
  <c r="H303" i="14"/>
  <c r="H298" i="14"/>
  <c r="H294" i="14"/>
  <c r="H293" i="14"/>
  <c r="H290" i="14"/>
  <c r="H289" i="14"/>
  <c r="I84" i="14"/>
  <c r="I35" i="14" s="1"/>
  <c r="I98" i="14"/>
  <c r="I91" i="14" s="1"/>
  <c r="I142" i="14"/>
  <c r="I155" i="14"/>
  <c r="I154" i="14" s="1"/>
  <c r="I15" i="17" s="1"/>
  <c r="I170" i="14"/>
  <c r="L29" i="16"/>
  <c r="L28" i="16"/>
  <c r="L27" i="16"/>
  <c r="L26" i="16"/>
  <c r="L12" i="16"/>
  <c r="L16" i="16"/>
  <c r="L19" i="16"/>
  <c r="L383" i="16"/>
  <c r="L382" i="16"/>
  <c r="L312" i="16"/>
  <c r="L311" i="16"/>
  <c r="L310" i="16"/>
  <c r="L289" i="16"/>
  <c r="L288" i="16"/>
  <c r="L287" i="16"/>
  <c r="L285" i="16"/>
  <c r="L284" i="16"/>
  <c r="L280" i="16"/>
  <c r="O280" i="16" s="1"/>
  <c r="L279" i="16"/>
  <c r="L278" i="16"/>
  <c r="L277" i="16"/>
  <c r="L276" i="16"/>
  <c r="L275" i="16"/>
  <c r="L274" i="16"/>
  <c r="L273" i="16"/>
  <c r="L272" i="16"/>
  <c r="L266" i="16"/>
  <c r="L265" i="16"/>
  <c r="L262" i="16"/>
  <c r="O262" i="16" s="1"/>
  <c r="P262" i="16" s="1"/>
  <c r="L243" i="16"/>
  <c r="L245" i="16"/>
  <c r="L169" i="16"/>
  <c r="L168" i="16"/>
  <c r="L167" i="16"/>
  <c r="L166" i="16"/>
  <c r="L165" i="16"/>
  <c r="L164" i="16"/>
  <c r="L163" i="16"/>
  <c r="L162" i="16"/>
  <c r="L153" i="16"/>
  <c r="L152" i="16"/>
  <c r="L149" i="16"/>
  <c r="L148" i="16"/>
  <c r="O148" i="16" s="1"/>
  <c r="L147" i="16"/>
  <c r="L146" i="16"/>
  <c r="L145" i="16"/>
  <c r="L144" i="16"/>
  <c r="L143" i="16"/>
  <c r="L139" i="16"/>
  <c r="L134" i="16"/>
  <c r="L133" i="16"/>
  <c r="L132" i="16"/>
  <c r="L131" i="16"/>
  <c r="L130" i="16"/>
  <c r="L125" i="16"/>
  <c r="L118" i="16"/>
  <c r="L117" i="16"/>
  <c r="L116" i="16"/>
  <c r="L115" i="16"/>
  <c r="L111" i="16"/>
  <c r="L110" i="16"/>
  <c r="L109" i="16"/>
  <c r="L108" i="16"/>
  <c r="L107" i="16"/>
  <c r="L106" i="16"/>
  <c r="L105" i="16"/>
  <c r="L104" i="16"/>
  <c r="L103" i="16"/>
  <c r="L100" i="16"/>
  <c r="L99" i="16"/>
  <c r="L98" i="16"/>
  <c r="L93" i="16"/>
  <c r="L90" i="16"/>
  <c r="L89" i="16"/>
  <c r="L88" i="16"/>
  <c r="L87" i="16"/>
  <c r="L84" i="16"/>
  <c r="L83" i="16"/>
  <c r="L82" i="16"/>
  <c r="L81" i="16"/>
  <c r="L80" i="16"/>
  <c r="L79" i="16"/>
  <c r="L78" i="16"/>
  <c r="L75" i="16"/>
  <c r="L74" i="16"/>
  <c r="L73" i="16"/>
  <c r="L72" i="16"/>
  <c r="L71" i="16"/>
  <c r="L70" i="16"/>
  <c r="L69" i="16"/>
  <c r="L66" i="16"/>
  <c r="L65" i="16"/>
  <c r="L64" i="16"/>
  <c r="L63" i="16"/>
  <c r="L62" i="16"/>
  <c r="L59" i="16"/>
  <c r="L58" i="16"/>
  <c r="L57" i="16"/>
  <c r="L56" i="16"/>
  <c r="L55" i="16"/>
  <c r="L49" i="16"/>
  <c r="L48" i="16"/>
  <c r="L47" i="16"/>
  <c r="L46" i="16"/>
  <c r="L42" i="16"/>
  <c r="L41" i="16"/>
  <c r="L40" i="16"/>
  <c r="L39" i="16"/>
  <c r="L38" i="16"/>
  <c r="L30" i="16"/>
  <c r="I158" i="14" l="1"/>
  <c r="L44" i="16"/>
  <c r="H292" i="14"/>
  <c r="K202" i="14" l="1"/>
  <c r="H312" i="14"/>
  <c r="K289" i="14"/>
  <c r="H288" i="14"/>
  <c r="H287" i="14"/>
  <c r="H286" i="14"/>
  <c r="H285" i="14"/>
  <c r="H284" i="14"/>
  <c r="H280" i="14"/>
  <c r="H279" i="14"/>
  <c r="H278" i="14"/>
  <c r="H277" i="14"/>
  <c r="H276" i="14"/>
  <c r="H275" i="14"/>
  <c r="H274" i="14"/>
  <c r="H271" i="14"/>
  <c r="H270" i="14"/>
  <c r="H267" i="14"/>
  <c r="H266" i="14"/>
  <c r="H265" i="14"/>
  <c r="H264" i="14"/>
  <c r="H263" i="14"/>
  <c r="H262" i="14"/>
  <c r="H261" i="14"/>
  <c r="H258" i="14"/>
  <c r="H255" i="14"/>
  <c r="H254" i="14"/>
  <c r="H253" i="14"/>
  <c r="H249" i="14"/>
  <c r="H246" i="14"/>
  <c r="H242" i="14"/>
  <c r="K242" i="14" s="1"/>
  <c r="H241" i="14"/>
  <c r="K241" i="14" s="1"/>
  <c r="H240" i="14"/>
  <c r="K240" i="14" s="1"/>
  <c r="H239" i="14"/>
  <c r="K239" i="14" s="1"/>
  <c r="H238" i="14"/>
  <c r="H237" i="14"/>
  <c r="H236" i="14"/>
  <c r="H233" i="14"/>
  <c r="H232" i="14"/>
  <c r="H229" i="14"/>
  <c r="H226" i="14"/>
  <c r="H225" i="14"/>
  <c r="H224" i="14"/>
  <c r="H223" i="14"/>
  <c r="H220" i="14"/>
  <c r="H219" i="14"/>
  <c r="H218" i="14"/>
  <c r="H213" i="14"/>
  <c r="H212" i="14"/>
  <c r="H211" i="14"/>
  <c r="H208" i="14"/>
  <c r="H207" i="14"/>
  <c r="H206" i="14"/>
  <c r="H205" i="14"/>
  <c r="H201" i="14"/>
  <c r="H200" i="14"/>
  <c r="H199" i="14"/>
  <c r="H198" i="14"/>
  <c r="H194" i="14"/>
  <c r="H193" i="14"/>
  <c r="H191" i="14"/>
  <c r="H188" i="14"/>
  <c r="H187" i="14"/>
  <c r="H184" i="14"/>
  <c r="H183" i="14"/>
  <c r="H182" i="14"/>
  <c r="H181" i="14"/>
  <c r="H180" i="14"/>
  <c r="H177" i="14"/>
  <c r="H176" i="14"/>
  <c r="H175" i="14"/>
  <c r="H172" i="14"/>
  <c r="H171" i="14"/>
  <c r="H148" i="14"/>
  <c r="H146" i="14" s="1"/>
  <c r="H137" i="14"/>
  <c r="H136" i="14"/>
  <c r="H133" i="14"/>
  <c r="H132" i="14"/>
  <c r="K132" i="14" s="1"/>
  <c r="H131" i="14"/>
  <c r="H130" i="14"/>
  <c r="H129" i="14"/>
  <c r="H128" i="14"/>
  <c r="H127" i="14"/>
  <c r="H126" i="14"/>
  <c r="H122" i="14"/>
  <c r="H121" i="14"/>
  <c r="H120" i="14"/>
  <c r="H119" i="14"/>
  <c r="H118" i="14"/>
  <c r="H117" i="14"/>
  <c r="H116" i="14"/>
  <c r="K116" i="14" s="1"/>
  <c r="H115" i="14"/>
  <c r="H112" i="14"/>
  <c r="H111" i="14"/>
  <c r="H108" i="14"/>
  <c r="H107" i="14"/>
  <c r="H106" i="14"/>
  <c r="H105" i="14"/>
  <c r="H104" i="14"/>
  <c r="H103" i="14"/>
  <c r="H102" i="14"/>
  <c r="H99" i="14"/>
  <c r="H96" i="14"/>
  <c r="H95" i="14"/>
  <c r="H94" i="14"/>
  <c r="H93" i="14"/>
  <c r="H89" i="14"/>
  <c r="H88" i="14"/>
  <c r="H82" i="14"/>
  <c r="H81" i="14"/>
  <c r="H80" i="14"/>
  <c r="H79" i="14"/>
  <c r="H78" i="14"/>
  <c r="H75" i="14"/>
  <c r="K75" i="14" s="1"/>
  <c r="H74" i="14"/>
  <c r="K74" i="14" s="1"/>
  <c r="L74" i="14" s="1"/>
  <c r="H73" i="14"/>
  <c r="K73" i="14" s="1"/>
  <c r="L73" i="14" s="1"/>
  <c r="H70" i="14"/>
  <c r="H67" i="14"/>
  <c r="H66" i="14"/>
  <c r="H65" i="14"/>
  <c r="H64" i="14"/>
  <c r="K57" i="14"/>
  <c r="H53" i="14"/>
  <c r="H51" i="14"/>
  <c r="H50" i="14"/>
  <c r="H49" i="14"/>
  <c r="H46" i="14"/>
  <c r="H45" i="14"/>
  <c r="H44" i="14"/>
  <c r="H43" i="14"/>
  <c r="K38" i="14"/>
  <c r="H33" i="14"/>
  <c r="H32" i="14"/>
  <c r="H30" i="14"/>
  <c r="H27" i="14"/>
  <c r="H26" i="14"/>
  <c r="H23" i="14"/>
  <c r="H22" i="14"/>
  <c r="H21" i="14"/>
  <c r="H20" i="14"/>
  <c r="H19" i="14"/>
  <c r="H16" i="14"/>
  <c r="H15" i="14"/>
  <c r="H14" i="14"/>
  <c r="H11" i="14"/>
  <c r="H10" i="14"/>
  <c r="C36" i="14"/>
  <c r="D37" i="14"/>
  <c r="D116" i="14"/>
  <c r="D132" i="14"/>
  <c r="D11" i="14"/>
  <c r="D9" i="14" s="1"/>
  <c r="C9" i="14"/>
  <c r="D202" i="14"/>
  <c r="K131" i="14"/>
  <c r="D131" i="14"/>
  <c r="L131" i="14" s="1"/>
  <c r="B316" i="14"/>
  <c r="B312" i="14"/>
  <c r="B309" i="14"/>
  <c r="B297" i="14"/>
  <c r="B283" i="14"/>
  <c r="B273" i="14"/>
  <c r="B269" i="14"/>
  <c r="B260" i="14"/>
  <c r="B257" i="14"/>
  <c r="B252" i="14"/>
  <c r="B248" i="14"/>
  <c r="B235" i="14"/>
  <c r="B231" i="14"/>
  <c r="B228" i="14"/>
  <c r="B222" i="14"/>
  <c r="B215" i="14"/>
  <c r="B210" i="14"/>
  <c r="B204" i="14"/>
  <c r="B186" i="14"/>
  <c r="C186" i="14"/>
  <c r="B179" i="14"/>
  <c r="B174" i="14"/>
  <c r="B170" i="14"/>
  <c r="K303" i="14"/>
  <c r="H302" i="14"/>
  <c r="D303" i="14"/>
  <c r="I302" i="14"/>
  <c r="G302" i="14"/>
  <c r="F302" i="14"/>
  <c r="C302" i="14"/>
  <c r="B302" i="14"/>
  <c r="D289" i="14"/>
  <c r="L289" i="14" s="1"/>
  <c r="B197" i="14"/>
  <c r="C197" i="14"/>
  <c r="B155" i="14"/>
  <c r="B154" i="14" s="1"/>
  <c r="B15" i="17" s="1"/>
  <c r="B135" i="14"/>
  <c r="B124" i="14" s="1"/>
  <c r="B98" i="14"/>
  <c r="B91" i="14" s="1"/>
  <c r="K66" i="14"/>
  <c r="D66" i="14"/>
  <c r="D57" i="14"/>
  <c r="D14" i="14"/>
  <c r="D15" i="14"/>
  <c r="H242" i="16"/>
  <c r="P242" i="16" s="1"/>
  <c r="P238" i="16" s="1"/>
  <c r="H280" i="16"/>
  <c r="P280" i="16" s="1"/>
  <c r="D302" i="14" l="1"/>
  <c r="L303" i="14"/>
  <c r="L302" i="14" s="1"/>
  <c r="L132" i="14"/>
  <c r="L116" i="14"/>
  <c r="L66" i="14"/>
  <c r="L202" i="14"/>
  <c r="L57" i="14"/>
  <c r="B158" i="14"/>
  <c r="K72" i="14"/>
  <c r="K37" i="14"/>
  <c r="L37" i="14" s="1"/>
  <c r="H36" i="14"/>
  <c r="B300" i="14"/>
  <c r="B13" i="17" s="1"/>
  <c r="K302" i="14"/>
  <c r="B196" i="14"/>
  <c r="B10" i="17" s="1"/>
  <c r="H26" i="18"/>
  <c r="H27" i="18"/>
  <c r="H28" i="18"/>
  <c r="H29" i="18"/>
  <c r="H30" i="18"/>
  <c r="H31" i="18"/>
  <c r="H34" i="18"/>
  <c r="H35" i="18"/>
  <c r="H36" i="18"/>
  <c r="H37" i="18"/>
  <c r="H38" i="18"/>
  <c r="H39" i="18"/>
  <c r="H41" i="18"/>
  <c r="H42" i="18"/>
  <c r="D24" i="21" l="1"/>
  <c r="H25" i="18" l="1"/>
  <c r="G25" i="18"/>
  <c r="F25" i="18"/>
  <c r="E25" i="18"/>
  <c r="C25" i="18"/>
  <c r="B25" i="18"/>
  <c r="J32" i="18"/>
  <c r="D32" i="18"/>
  <c r="G17" i="18"/>
  <c r="F17" i="18"/>
  <c r="E17" i="18"/>
  <c r="C17" i="18"/>
  <c r="B17" i="18"/>
  <c r="D24" i="18"/>
  <c r="K24" i="18" s="1"/>
  <c r="K32" i="18" l="1"/>
  <c r="D318" i="14"/>
  <c r="I316" i="14"/>
  <c r="H316" i="14"/>
  <c r="G316" i="14"/>
  <c r="F316" i="14"/>
  <c r="C316" i="14"/>
  <c r="L155" i="14"/>
  <c r="L154" i="14" s="1"/>
  <c r="H155" i="14"/>
  <c r="H154" i="14" s="1"/>
  <c r="G155" i="14"/>
  <c r="G154" i="14" s="1"/>
  <c r="F155" i="14"/>
  <c r="F154" i="14" s="1"/>
  <c r="F15" i="17" s="1"/>
  <c r="H15" i="17" s="1"/>
  <c r="C155" i="14"/>
  <c r="C154" i="14" s="1"/>
  <c r="C15" i="17" s="1"/>
  <c r="D15" i="17" s="1"/>
  <c r="K15" i="17" s="1"/>
  <c r="K156" i="14"/>
  <c r="K155" i="14" s="1"/>
  <c r="K154" i="14" s="1"/>
  <c r="D156" i="14"/>
  <c r="D155" i="14" s="1"/>
  <c r="D154" i="14" s="1"/>
  <c r="D11" i="5"/>
  <c r="C11" i="5"/>
  <c r="E10" i="5"/>
  <c r="B11" i="5"/>
  <c r="C13" i="2"/>
  <c r="B11" i="2"/>
  <c r="B13" i="2" s="1"/>
  <c r="F11" i="5" l="1"/>
  <c r="E9" i="2"/>
  <c r="E7" i="2"/>
  <c r="E8" i="2"/>
  <c r="E6" i="2"/>
  <c r="L318" i="14"/>
  <c r="O312" i="16"/>
  <c r="H383" i="16"/>
  <c r="P383" i="16" s="1"/>
  <c r="H312" i="16"/>
  <c r="P312" i="16" l="1"/>
  <c r="H4" i="7"/>
  <c r="G10" i="7"/>
  <c r="F10" i="7"/>
  <c r="H9" i="7"/>
  <c r="H8" i="7"/>
  <c r="H7" i="7"/>
  <c r="H5" i="7"/>
  <c r="H6" i="7"/>
  <c r="D42" i="18" l="1"/>
  <c r="D41" i="18"/>
  <c r="H45" i="18"/>
  <c r="I45" i="18" s="1"/>
  <c r="H44" i="18"/>
  <c r="D45" i="18"/>
  <c r="D44" i="18"/>
  <c r="G43" i="18"/>
  <c r="F43" i="18"/>
  <c r="E43" i="18"/>
  <c r="C43" i="18"/>
  <c r="B43" i="18"/>
  <c r="G40" i="18"/>
  <c r="F40" i="18"/>
  <c r="E40" i="18"/>
  <c r="C40" i="18"/>
  <c r="B40" i="18"/>
  <c r="H14" i="18"/>
  <c r="I14" i="18" s="1"/>
  <c r="H15" i="18"/>
  <c r="H16" i="18"/>
  <c r="I44" i="18" l="1"/>
  <c r="I43" i="18" s="1"/>
  <c r="I41" i="18"/>
  <c r="I42" i="18"/>
  <c r="J42" i="18" s="1"/>
  <c r="K42" i="18" s="1"/>
  <c r="H43" i="18"/>
  <c r="H40" i="18"/>
  <c r="D40" i="18"/>
  <c r="J45" i="18"/>
  <c r="D43" i="18"/>
  <c r="J44" i="18" l="1"/>
  <c r="K44" i="18" s="1"/>
  <c r="I40" i="18"/>
  <c r="J41" i="18"/>
  <c r="K45" i="18"/>
  <c r="K43" i="18" l="1"/>
  <c r="J43" i="18"/>
  <c r="K41" i="18"/>
  <c r="K40" i="18" s="1"/>
  <c r="J40" i="18"/>
  <c r="F18" i="4" l="1"/>
  <c r="E18" i="4"/>
  <c r="F19" i="4"/>
  <c r="E19" i="4"/>
  <c r="D27" i="21" l="1"/>
  <c r="E27" i="21" s="1"/>
  <c r="A27" i="20"/>
  <c r="K199" i="14" l="1"/>
  <c r="D199" i="14"/>
  <c r="L199" i="14" l="1"/>
  <c r="F33" i="18"/>
  <c r="H12" i="18" l="1"/>
  <c r="I12" i="18" s="1"/>
  <c r="J12" i="18" s="1"/>
  <c r="E10" i="18"/>
  <c r="H13" i="18"/>
  <c r="I13" i="18" s="1"/>
  <c r="E33" i="18"/>
  <c r="I11" i="18"/>
  <c r="K59" i="14"/>
  <c r="D59" i="14"/>
  <c r="K278" i="14"/>
  <c r="D278" i="14"/>
  <c r="H87" i="14"/>
  <c r="G87" i="14"/>
  <c r="F87" i="14"/>
  <c r="C87" i="14"/>
  <c r="K88" i="14"/>
  <c r="D88" i="14"/>
  <c r="L88" i="14" s="1"/>
  <c r="K40" i="14"/>
  <c r="L40" i="14" s="1"/>
  <c r="D40" i="14"/>
  <c r="L59" i="14" l="1"/>
  <c r="L278" i="14"/>
  <c r="I10" i="18"/>
  <c r="E48" i="18"/>
  <c r="F10" i="18"/>
  <c r="F48" i="18" s="1"/>
  <c r="O117" i="16" l="1"/>
  <c r="O116" i="16"/>
  <c r="O115" i="16"/>
  <c r="O59" i="16"/>
  <c r="M54" i="16"/>
  <c r="L381" i="16"/>
  <c r="L380" i="16" s="1"/>
  <c r="L376" i="16"/>
  <c r="L373" i="16"/>
  <c r="L369" i="16"/>
  <c r="L360" i="16"/>
  <c r="L356" i="16"/>
  <c r="L345" i="16"/>
  <c r="L335" i="16"/>
  <c r="L330" i="16"/>
  <c r="L327" i="16"/>
  <c r="L321" i="16"/>
  <c r="L318" i="16"/>
  <c r="L309" i="16"/>
  <c r="L303" i="16"/>
  <c r="L301" i="16"/>
  <c r="L295" i="16"/>
  <c r="L292" i="16"/>
  <c r="L282" i="16"/>
  <c r="L271" i="16"/>
  <c r="L264" i="16"/>
  <c r="L260" i="16"/>
  <c r="L257" i="16"/>
  <c r="L255" i="16"/>
  <c r="L251" i="16" s="1"/>
  <c r="L244" i="16" s="1"/>
  <c r="L238" i="16"/>
  <c r="L231" i="16"/>
  <c r="L228" i="16"/>
  <c r="L217" i="16"/>
  <c r="L213" i="16"/>
  <c r="L210" i="16"/>
  <c r="L206" i="16"/>
  <c r="L203" i="16"/>
  <c r="L199" i="16"/>
  <c r="L190" i="16"/>
  <c r="L186" i="16"/>
  <c r="L181" i="16"/>
  <c r="L173" i="16"/>
  <c r="L161" i="16"/>
  <c r="L155" i="16"/>
  <c r="L151" i="16"/>
  <c r="L142" i="16"/>
  <c r="L136" i="16"/>
  <c r="L129" i="16"/>
  <c r="L121" i="16"/>
  <c r="L113" i="16"/>
  <c r="L102" i="16"/>
  <c r="L97" i="16"/>
  <c r="L92" i="16"/>
  <c r="L86" i="16"/>
  <c r="L77" i="16"/>
  <c r="L68" i="16"/>
  <c r="L61" i="16"/>
  <c r="L54" i="16"/>
  <c r="L37" i="16"/>
  <c r="L32" i="16"/>
  <c r="L25" i="16"/>
  <c r="L18" i="16"/>
  <c r="L11" i="16"/>
  <c r="H117" i="16"/>
  <c r="H116" i="16"/>
  <c r="H115" i="16"/>
  <c r="H59" i="16"/>
  <c r="P59" i="16" s="1"/>
  <c r="L9" i="16" l="1"/>
  <c r="L10" i="16"/>
  <c r="L171" i="16"/>
  <c r="L185" i="16"/>
  <c r="L281" i="16"/>
  <c r="L270" i="16" s="1"/>
  <c r="L308" i="16"/>
  <c r="L355" i="16"/>
  <c r="L334" i="16"/>
  <c r="L179" i="16"/>
  <c r="L127" i="16"/>
  <c r="L52" i="16"/>
  <c r="L36" i="16"/>
  <c r="L237" i="16"/>
  <c r="L216" i="16" s="1"/>
  <c r="E25" i="4"/>
  <c r="E24" i="4"/>
  <c r="E23" i="4"/>
  <c r="E22" i="4"/>
  <c r="E21" i="4"/>
  <c r="E20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8" i="5"/>
  <c r="E7" i="5"/>
  <c r="E6" i="5"/>
  <c r="E5" i="5"/>
  <c r="E4" i="5"/>
  <c r="L268" i="16" l="1"/>
  <c r="E11" i="5"/>
  <c r="L51" i="16"/>
  <c r="B7" i="23"/>
  <c r="B8" i="23"/>
  <c r="B9" i="23"/>
  <c r="L8" i="16" l="1"/>
  <c r="L7" i="16" s="1"/>
  <c r="L385" i="16" s="1"/>
  <c r="C8" i="24"/>
  <c r="D7" i="24" s="1"/>
  <c r="C8" i="23"/>
  <c r="C7" i="23"/>
  <c r="D11" i="21"/>
  <c r="E11" i="21" s="1"/>
  <c r="C31" i="21"/>
  <c r="D29" i="21"/>
  <c r="E29" i="21" s="1"/>
  <c r="B31" i="21"/>
  <c r="D28" i="21"/>
  <c r="E28" i="21" s="1"/>
  <c r="D26" i="21"/>
  <c r="E26" i="21" s="1"/>
  <c r="D25" i="21"/>
  <c r="D22" i="21"/>
  <c r="E22" i="21" s="1"/>
  <c r="D21" i="21"/>
  <c r="E21" i="21" s="1"/>
  <c r="D20" i="21"/>
  <c r="E20" i="21" s="1"/>
  <c r="D19" i="21"/>
  <c r="E19" i="21" s="1"/>
  <c r="D10" i="21"/>
  <c r="E10" i="21" s="1"/>
  <c r="D9" i="21"/>
  <c r="E9" i="21" s="1"/>
  <c r="C43" i="20"/>
  <c r="B43" i="20"/>
  <c r="D42" i="20"/>
  <c r="E42" i="20" s="1"/>
  <c r="D41" i="20"/>
  <c r="E41" i="20" s="1"/>
  <c r="C37" i="20"/>
  <c r="B37" i="20"/>
  <c r="D34" i="20"/>
  <c r="E34" i="20" s="1"/>
  <c r="D33" i="20"/>
  <c r="B21" i="20"/>
  <c r="D20" i="20"/>
  <c r="D18" i="20"/>
  <c r="E18" i="20" s="1"/>
  <c r="D13" i="20"/>
  <c r="E13" i="20" s="1"/>
  <c r="D12" i="20"/>
  <c r="E12" i="20" s="1"/>
  <c r="D11" i="20"/>
  <c r="E11" i="20" s="1"/>
  <c r="D10" i="20"/>
  <c r="E10" i="20" s="1"/>
  <c r="D9" i="20"/>
  <c r="E9" i="20" s="1"/>
  <c r="C14" i="20"/>
  <c r="B14" i="20"/>
  <c r="B22" i="20" l="1"/>
  <c r="D6" i="24"/>
  <c r="D8" i="24" s="1"/>
  <c r="C9" i="23"/>
  <c r="B33" i="21"/>
  <c r="D31" i="21"/>
  <c r="C45" i="20"/>
  <c r="B45" i="20"/>
  <c r="E36" i="20"/>
  <c r="E37" i="20" s="1"/>
  <c r="D43" i="20"/>
  <c r="E43" i="20" s="1"/>
  <c r="D14" i="20"/>
  <c r="E14" i="20" s="1"/>
  <c r="E20" i="20"/>
  <c r="E33" i="20"/>
  <c r="D45" i="20" l="1"/>
  <c r="E45" i="20" s="1"/>
  <c r="E31" i="21"/>
  <c r="D37" i="20"/>
  <c r="I39" i="18"/>
  <c r="I38" i="18"/>
  <c r="I37" i="18"/>
  <c r="J37" i="18" s="1"/>
  <c r="I36" i="18"/>
  <c r="J36" i="18" s="1"/>
  <c r="I35" i="18"/>
  <c r="I34" i="18"/>
  <c r="I31" i="18"/>
  <c r="I30" i="18"/>
  <c r="J30" i="18" s="1"/>
  <c r="I29" i="18"/>
  <c r="J29" i="18" s="1"/>
  <c r="I28" i="18"/>
  <c r="I27" i="18"/>
  <c r="J27" i="18" s="1"/>
  <c r="I26" i="18"/>
  <c r="H23" i="18"/>
  <c r="H22" i="18"/>
  <c r="H21" i="18"/>
  <c r="I21" i="18" s="1"/>
  <c r="J21" i="18" s="1"/>
  <c r="H20" i="18"/>
  <c r="H19" i="18"/>
  <c r="H18" i="18"/>
  <c r="D37" i="18"/>
  <c r="D36" i="18"/>
  <c r="D35" i="18"/>
  <c r="D34" i="18"/>
  <c r="D29" i="18"/>
  <c r="D28" i="18"/>
  <c r="D20" i="18"/>
  <c r="D19" i="18"/>
  <c r="D11" i="18"/>
  <c r="D39" i="18"/>
  <c r="D38" i="18"/>
  <c r="D31" i="18"/>
  <c r="D30" i="18"/>
  <c r="D26" i="18"/>
  <c r="D23" i="18"/>
  <c r="D22" i="18"/>
  <c r="D21" i="18"/>
  <c r="G33" i="18"/>
  <c r="C33" i="18"/>
  <c r="J31" i="18"/>
  <c r="G10" i="18"/>
  <c r="C10" i="18"/>
  <c r="J16" i="18"/>
  <c r="D16" i="18"/>
  <c r="J15" i="18"/>
  <c r="J14" i="18"/>
  <c r="D14" i="18"/>
  <c r="J13" i="18"/>
  <c r="D13" i="18"/>
  <c r="D12" i="18"/>
  <c r="G16" i="17"/>
  <c r="E16" i="17"/>
  <c r="O381" i="16"/>
  <c r="M381" i="16"/>
  <c r="M380" i="16" s="1"/>
  <c r="K381" i="16"/>
  <c r="K380" i="16" s="1"/>
  <c r="J381" i="16"/>
  <c r="J380" i="16" s="1"/>
  <c r="I381" i="16"/>
  <c r="I380" i="16" s="1"/>
  <c r="H381" i="16"/>
  <c r="G381" i="16"/>
  <c r="G380" i="16" s="1"/>
  <c r="C380" i="16"/>
  <c r="P376" i="16"/>
  <c r="O376" i="16"/>
  <c r="M376" i="16"/>
  <c r="K376" i="16"/>
  <c r="J376" i="16"/>
  <c r="I376" i="16"/>
  <c r="H376" i="16"/>
  <c r="G376" i="16"/>
  <c r="C376" i="16"/>
  <c r="P373" i="16"/>
  <c r="O373" i="16"/>
  <c r="M373" i="16"/>
  <c r="K373" i="16"/>
  <c r="J373" i="16"/>
  <c r="I373" i="16"/>
  <c r="H373" i="16"/>
  <c r="G373" i="16"/>
  <c r="P369" i="16"/>
  <c r="O369" i="16"/>
  <c r="M369" i="16"/>
  <c r="K369" i="16"/>
  <c r="J369" i="16"/>
  <c r="I369" i="16"/>
  <c r="H369" i="16"/>
  <c r="G369" i="16"/>
  <c r="P360" i="16"/>
  <c r="O360" i="16"/>
  <c r="M360" i="16"/>
  <c r="K360" i="16"/>
  <c r="J360" i="16"/>
  <c r="I360" i="16"/>
  <c r="H360" i="16"/>
  <c r="G360" i="16"/>
  <c r="P356" i="16"/>
  <c r="O356" i="16"/>
  <c r="M356" i="16"/>
  <c r="K356" i="16"/>
  <c r="J356" i="16"/>
  <c r="I356" i="16"/>
  <c r="H356" i="16"/>
  <c r="G356" i="16"/>
  <c r="P345" i="16"/>
  <c r="O345" i="16"/>
  <c r="M345" i="16"/>
  <c r="K345" i="16"/>
  <c r="J345" i="16"/>
  <c r="I345" i="16"/>
  <c r="H345" i="16"/>
  <c r="G345" i="16"/>
  <c r="C345" i="16"/>
  <c r="P335" i="16"/>
  <c r="O335" i="16"/>
  <c r="M335" i="16"/>
  <c r="K335" i="16"/>
  <c r="J335" i="16"/>
  <c r="I335" i="16"/>
  <c r="H335" i="16"/>
  <c r="G335" i="16"/>
  <c r="P330" i="16"/>
  <c r="O330" i="16"/>
  <c r="M330" i="16"/>
  <c r="K330" i="16"/>
  <c r="J330" i="16"/>
  <c r="I330" i="16"/>
  <c r="H330" i="16"/>
  <c r="G330" i="16"/>
  <c r="C330" i="16"/>
  <c r="P327" i="16"/>
  <c r="O327" i="16"/>
  <c r="M327" i="16"/>
  <c r="K327" i="16"/>
  <c r="J327" i="16"/>
  <c r="I327" i="16"/>
  <c r="H327" i="16"/>
  <c r="G327" i="16"/>
  <c r="P321" i="16"/>
  <c r="O321" i="16"/>
  <c r="M321" i="16"/>
  <c r="K321" i="16"/>
  <c r="J321" i="16"/>
  <c r="I321" i="16"/>
  <c r="H321" i="16"/>
  <c r="G321" i="16"/>
  <c r="C318" i="16"/>
  <c r="P318" i="16"/>
  <c r="O318" i="16"/>
  <c r="M318" i="16"/>
  <c r="K318" i="16"/>
  <c r="J318" i="16"/>
  <c r="I318" i="16"/>
  <c r="H318" i="16"/>
  <c r="G318" i="16"/>
  <c r="O310" i="16"/>
  <c r="O309" i="16" s="1"/>
  <c r="H310" i="16"/>
  <c r="M309" i="16"/>
  <c r="K309" i="16"/>
  <c r="J309" i="16"/>
  <c r="I309" i="16"/>
  <c r="G309" i="16"/>
  <c r="C304" i="16"/>
  <c r="P303" i="16"/>
  <c r="O303" i="16"/>
  <c r="M303" i="16"/>
  <c r="K303" i="16"/>
  <c r="J303" i="16"/>
  <c r="I303" i="16"/>
  <c r="H303" i="16"/>
  <c r="G303" i="16"/>
  <c r="O302" i="16"/>
  <c r="H302" i="16"/>
  <c r="H301" i="16" s="1"/>
  <c r="C302" i="16"/>
  <c r="M301" i="16"/>
  <c r="K301" i="16"/>
  <c r="J301" i="16"/>
  <c r="I301" i="16"/>
  <c r="G301" i="16"/>
  <c r="C297" i="16"/>
  <c r="C296" i="16"/>
  <c r="P295" i="16"/>
  <c r="O295" i="16"/>
  <c r="M295" i="16"/>
  <c r="K295" i="16"/>
  <c r="J295" i="16"/>
  <c r="I295" i="16"/>
  <c r="H295" i="16"/>
  <c r="G295" i="16"/>
  <c r="P292" i="16"/>
  <c r="O292" i="16"/>
  <c r="M292" i="16"/>
  <c r="K292" i="16"/>
  <c r="J292" i="16"/>
  <c r="I292" i="16"/>
  <c r="H292" i="16"/>
  <c r="G292" i="16"/>
  <c r="O290" i="16"/>
  <c r="H290" i="16"/>
  <c r="O289" i="16"/>
  <c r="H289" i="16"/>
  <c r="O288" i="16"/>
  <c r="H288" i="16"/>
  <c r="O287" i="16"/>
  <c r="H287" i="16"/>
  <c r="O286" i="16"/>
  <c r="H286" i="16"/>
  <c r="O285" i="16"/>
  <c r="H285" i="16"/>
  <c r="O284" i="16"/>
  <c r="P284" i="16" s="1"/>
  <c r="H284" i="16"/>
  <c r="O283" i="16"/>
  <c r="H283" i="16"/>
  <c r="M282" i="16"/>
  <c r="K282" i="16"/>
  <c r="J282" i="16"/>
  <c r="I282" i="16"/>
  <c r="G282" i="16"/>
  <c r="O279" i="16"/>
  <c r="H279" i="16"/>
  <c r="O278" i="16"/>
  <c r="H278" i="16"/>
  <c r="O277" i="16"/>
  <c r="H277" i="16"/>
  <c r="O276" i="16"/>
  <c r="H276" i="16"/>
  <c r="O275" i="16"/>
  <c r="H275" i="16"/>
  <c r="O274" i="16"/>
  <c r="H274" i="16"/>
  <c r="O273" i="16"/>
  <c r="H273" i="16"/>
  <c r="H272" i="16"/>
  <c r="M271" i="16"/>
  <c r="K271" i="16"/>
  <c r="J271" i="16"/>
  <c r="I271" i="16"/>
  <c r="G271" i="16"/>
  <c r="C271" i="16"/>
  <c r="P266" i="16"/>
  <c r="O265" i="16"/>
  <c r="H265" i="16"/>
  <c r="H264" i="16" s="1"/>
  <c r="M264" i="16"/>
  <c r="K264" i="16"/>
  <c r="J264" i="16"/>
  <c r="I264" i="16"/>
  <c r="G264" i="16"/>
  <c r="C265" i="16"/>
  <c r="O261" i="16"/>
  <c r="O260" i="16" s="1"/>
  <c r="H260" i="16"/>
  <c r="M260" i="16"/>
  <c r="K260" i="16"/>
  <c r="J260" i="16"/>
  <c r="I260" i="16"/>
  <c r="G260" i="16"/>
  <c r="P258" i="16"/>
  <c r="O257" i="16"/>
  <c r="M257" i="16"/>
  <c r="K257" i="16"/>
  <c r="J257" i="16"/>
  <c r="I257" i="16"/>
  <c r="H257" i="16"/>
  <c r="G257" i="16"/>
  <c r="P256" i="16"/>
  <c r="O255" i="16"/>
  <c r="O251" i="16" s="1"/>
  <c r="M255" i="16"/>
  <c r="M251" i="16" s="1"/>
  <c r="K255" i="16"/>
  <c r="J255" i="16"/>
  <c r="J251" i="16" s="1"/>
  <c r="J244" i="16" s="1"/>
  <c r="I255" i="16"/>
  <c r="I251" i="16" s="1"/>
  <c r="H255" i="16"/>
  <c r="H251" i="16" s="1"/>
  <c r="G255" i="16"/>
  <c r="G251" i="16" s="1"/>
  <c r="G244" i="16" s="1"/>
  <c r="P252" i="16"/>
  <c r="K251" i="16"/>
  <c r="K244" i="16" s="1"/>
  <c r="O245" i="16"/>
  <c r="P245" i="16" s="1"/>
  <c r="H245" i="16"/>
  <c r="O238" i="16"/>
  <c r="M238" i="16"/>
  <c r="K238" i="16"/>
  <c r="J238" i="16"/>
  <c r="I238" i="16"/>
  <c r="H238" i="16"/>
  <c r="G238" i="16"/>
  <c r="P232" i="16"/>
  <c r="O231" i="16"/>
  <c r="M231" i="16"/>
  <c r="K231" i="16"/>
  <c r="J231" i="16"/>
  <c r="I231" i="16"/>
  <c r="H231" i="16"/>
  <c r="G231" i="16"/>
  <c r="P229" i="16"/>
  <c r="O228" i="16"/>
  <c r="M228" i="16"/>
  <c r="K228" i="16"/>
  <c r="J228" i="16"/>
  <c r="I228" i="16"/>
  <c r="H228" i="16"/>
  <c r="G228" i="16"/>
  <c r="C217" i="16"/>
  <c r="P217" i="16"/>
  <c r="O217" i="16"/>
  <c r="M217" i="16"/>
  <c r="K217" i="16"/>
  <c r="J217" i="16"/>
  <c r="I217" i="16"/>
  <c r="H217" i="16"/>
  <c r="G217" i="16"/>
  <c r="P213" i="16"/>
  <c r="O213" i="16"/>
  <c r="M213" i="16"/>
  <c r="K213" i="16"/>
  <c r="J213" i="16"/>
  <c r="I213" i="16"/>
  <c r="H213" i="16"/>
  <c r="G213" i="16"/>
  <c r="P210" i="16"/>
  <c r="O210" i="16"/>
  <c r="M210" i="16"/>
  <c r="K210" i="16"/>
  <c r="J210" i="16"/>
  <c r="I210" i="16"/>
  <c r="H210" i="16"/>
  <c r="G210" i="16"/>
  <c r="P206" i="16"/>
  <c r="O206" i="16"/>
  <c r="M206" i="16"/>
  <c r="K206" i="16"/>
  <c r="J206" i="16"/>
  <c r="I206" i="16"/>
  <c r="H206" i="16"/>
  <c r="G206" i="16"/>
  <c r="P203" i="16"/>
  <c r="O203" i="16"/>
  <c r="M203" i="16"/>
  <c r="K203" i="16"/>
  <c r="J203" i="16"/>
  <c r="I203" i="16"/>
  <c r="H203" i="16"/>
  <c r="G203" i="16"/>
  <c r="P199" i="16"/>
  <c r="O199" i="16"/>
  <c r="M199" i="16"/>
  <c r="K199" i="16"/>
  <c r="J199" i="16"/>
  <c r="I199" i="16"/>
  <c r="H199" i="16"/>
  <c r="G199" i="16"/>
  <c r="P190" i="16"/>
  <c r="O190" i="16"/>
  <c r="M190" i="16"/>
  <c r="K190" i="16"/>
  <c r="J190" i="16"/>
  <c r="I190" i="16"/>
  <c r="H190" i="16"/>
  <c r="G190" i="16"/>
  <c r="P186" i="16"/>
  <c r="O186" i="16"/>
  <c r="O185" i="16" s="1"/>
  <c r="M186" i="16"/>
  <c r="M185" i="16" s="1"/>
  <c r="K186" i="16"/>
  <c r="K185" i="16" s="1"/>
  <c r="J186" i="16"/>
  <c r="J185" i="16" s="1"/>
  <c r="I186" i="16"/>
  <c r="I185" i="16" s="1"/>
  <c r="H186" i="16"/>
  <c r="H185" i="16" s="1"/>
  <c r="G186" i="16"/>
  <c r="G185" i="16" s="1"/>
  <c r="C185" i="16"/>
  <c r="C184" i="16" s="1"/>
  <c r="P181" i="16"/>
  <c r="O181" i="16"/>
  <c r="M181" i="16"/>
  <c r="M179" i="16" s="1"/>
  <c r="K181" i="16"/>
  <c r="J181" i="16"/>
  <c r="J179" i="16" s="1"/>
  <c r="I181" i="16"/>
  <c r="H181" i="16"/>
  <c r="G181" i="16"/>
  <c r="P173" i="16"/>
  <c r="O173" i="16"/>
  <c r="M173" i="16"/>
  <c r="K173" i="16"/>
  <c r="J173" i="16"/>
  <c r="I173" i="16"/>
  <c r="H173" i="16"/>
  <c r="G173" i="16"/>
  <c r="P171" i="16"/>
  <c r="O169" i="16"/>
  <c r="H169" i="16"/>
  <c r="O168" i="16"/>
  <c r="P168" i="16" s="1"/>
  <c r="H168" i="16"/>
  <c r="O167" i="16"/>
  <c r="H167" i="16"/>
  <c r="O166" i="16"/>
  <c r="H166" i="16"/>
  <c r="O165" i="16"/>
  <c r="H165" i="16"/>
  <c r="O164" i="16"/>
  <c r="P164" i="16" s="1"/>
  <c r="H164" i="16"/>
  <c r="O163" i="16"/>
  <c r="P163" i="16" s="1"/>
  <c r="H163" i="16"/>
  <c r="H162" i="16"/>
  <c r="M161" i="16"/>
  <c r="K161" i="16"/>
  <c r="J161" i="16"/>
  <c r="I161" i="16"/>
  <c r="G161" i="16"/>
  <c r="P155" i="16"/>
  <c r="O155" i="16"/>
  <c r="M155" i="16"/>
  <c r="K155" i="16"/>
  <c r="J155" i="16"/>
  <c r="I155" i="16"/>
  <c r="H155" i="16"/>
  <c r="G155" i="16"/>
  <c r="O153" i="16"/>
  <c r="H153" i="16"/>
  <c r="H152" i="16"/>
  <c r="M151" i="16"/>
  <c r="K151" i="16"/>
  <c r="J151" i="16"/>
  <c r="I151" i="16"/>
  <c r="G151" i="16"/>
  <c r="O149" i="16"/>
  <c r="P149" i="16" s="1"/>
  <c r="H149" i="16"/>
  <c r="H148" i="16"/>
  <c r="P148" i="16" s="1"/>
  <c r="O147" i="16"/>
  <c r="H147" i="16"/>
  <c r="O146" i="16"/>
  <c r="H146" i="16"/>
  <c r="O145" i="16"/>
  <c r="P145" i="16" s="1"/>
  <c r="H145" i="16"/>
  <c r="O144" i="16"/>
  <c r="H144" i="16"/>
  <c r="O143" i="16"/>
  <c r="H143" i="16"/>
  <c r="M142" i="16"/>
  <c r="K142" i="16"/>
  <c r="J142" i="16"/>
  <c r="I142" i="16"/>
  <c r="G142" i="16"/>
  <c r="H139" i="16"/>
  <c r="H136" i="16" s="1"/>
  <c r="M136" i="16"/>
  <c r="K136" i="16"/>
  <c r="J136" i="16"/>
  <c r="I136" i="16"/>
  <c r="G136" i="16"/>
  <c r="O134" i="16"/>
  <c r="H134" i="16"/>
  <c r="O133" i="16"/>
  <c r="H133" i="16"/>
  <c r="O132" i="16"/>
  <c r="P132" i="16" s="1"/>
  <c r="H132" i="16"/>
  <c r="O131" i="16"/>
  <c r="H131" i="16"/>
  <c r="O130" i="16"/>
  <c r="H130" i="16"/>
  <c r="M129" i="16"/>
  <c r="K129" i="16"/>
  <c r="J129" i="16"/>
  <c r="I129" i="16"/>
  <c r="G129" i="16"/>
  <c r="O125" i="16"/>
  <c r="H125" i="16"/>
  <c r="H121" i="16" s="1"/>
  <c r="M121" i="16"/>
  <c r="K121" i="16"/>
  <c r="J121" i="16"/>
  <c r="I121" i="16"/>
  <c r="G121" i="16"/>
  <c r="H118" i="16"/>
  <c r="H113" i="16" s="1"/>
  <c r="M113" i="16"/>
  <c r="K113" i="16"/>
  <c r="J113" i="16"/>
  <c r="I113" i="16"/>
  <c r="G113" i="16"/>
  <c r="O111" i="16"/>
  <c r="H111" i="16"/>
  <c r="O110" i="16"/>
  <c r="H110" i="16"/>
  <c r="O109" i="16"/>
  <c r="P109" i="16" s="1"/>
  <c r="H109" i="16"/>
  <c r="O108" i="16"/>
  <c r="H108" i="16"/>
  <c r="O107" i="16"/>
  <c r="H107" i="16"/>
  <c r="O106" i="16"/>
  <c r="H106" i="16"/>
  <c r="O105" i="16"/>
  <c r="P105" i="16" s="1"/>
  <c r="H105" i="16"/>
  <c r="O104" i="16"/>
  <c r="P104" i="16" s="1"/>
  <c r="H104" i="16"/>
  <c r="O103" i="16"/>
  <c r="H103" i="16"/>
  <c r="M102" i="16"/>
  <c r="K102" i="16"/>
  <c r="J102" i="16"/>
  <c r="I102" i="16"/>
  <c r="G102" i="16"/>
  <c r="O100" i="16"/>
  <c r="H100" i="16"/>
  <c r="O99" i="16"/>
  <c r="H99" i="16"/>
  <c r="H98" i="16"/>
  <c r="M97" i="16"/>
  <c r="K97" i="16"/>
  <c r="J97" i="16"/>
  <c r="I97" i="16"/>
  <c r="G97" i="16"/>
  <c r="O93" i="16"/>
  <c r="H93" i="16"/>
  <c r="H92" i="16" s="1"/>
  <c r="M92" i="16"/>
  <c r="K92" i="16"/>
  <c r="J92" i="16"/>
  <c r="I92" i="16"/>
  <c r="G92" i="16"/>
  <c r="O90" i="16"/>
  <c r="H90" i="16"/>
  <c r="O89" i="16"/>
  <c r="H89" i="16"/>
  <c r="O88" i="16"/>
  <c r="P88" i="16" s="1"/>
  <c r="H88" i="16"/>
  <c r="H87" i="16"/>
  <c r="M86" i="16"/>
  <c r="K86" i="16"/>
  <c r="J86" i="16"/>
  <c r="I86" i="16"/>
  <c r="G86" i="16"/>
  <c r="O84" i="16"/>
  <c r="P84" i="16" s="1"/>
  <c r="H84" i="16"/>
  <c r="O83" i="16"/>
  <c r="H83" i="16"/>
  <c r="O82" i="16"/>
  <c r="P82" i="16" s="1"/>
  <c r="H82" i="16"/>
  <c r="O81" i="16"/>
  <c r="H81" i="16"/>
  <c r="O80" i="16"/>
  <c r="H80" i="16"/>
  <c r="O79" i="16"/>
  <c r="P79" i="16" s="1"/>
  <c r="H79" i="16"/>
  <c r="M77" i="16"/>
  <c r="K77" i="16"/>
  <c r="J77" i="16"/>
  <c r="I77" i="16"/>
  <c r="G77" i="16"/>
  <c r="O75" i="16"/>
  <c r="H75" i="16"/>
  <c r="P75" i="16" s="1"/>
  <c r="O74" i="16"/>
  <c r="H74" i="16"/>
  <c r="O73" i="16"/>
  <c r="P73" i="16" s="1"/>
  <c r="H73" i="16"/>
  <c r="O72" i="16"/>
  <c r="H72" i="16"/>
  <c r="O71" i="16"/>
  <c r="H71" i="16"/>
  <c r="O70" i="16"/>
  <c r="P70" i="16" s="1"/>
  <c r="H70" i="16"/>
  <c r="H69" i="16"/>
  <c r="M68" i="16"/>
  <c r="K68" i="16"/>
  <c r="J68" i="16"/>
  <c r="I68" i="16"/>
  <c r="G68" i="16"/>
  <c r="O65" i="16"/>
  <c r="H65" i="16"/>
  <c r="O64" i="16"/>
  <c r="P64" i="16" s="1"/>
  <c r="H64" i="16"/>
  <c r="O63" i="16"/>
  <c r="H63" i="16"/>
  <c r="O62" i="16"/>
  <c r="H62" i="16"/>
  <c r="M61" i="16"/>
  <c r="K61" i="16"/>
  <c r="J61" i="16"/>
  <c r="I61" i="16"/>
  <c r="G61" i="16"/>
  <c r="O58" i="16"/>
  <c r="H58" i="16"/>
  <c r="P58" i="16" s="1"/>
  <c r="O57" i="16"/>
  <c r="H57" i="16"/>
  <c r="O56" i="16"/>
  <c r="H56" i="16"/>
  <c r="H55" i="16"/>
  <c r="K54" i="16"/>
  <c r="J54" i="16"/>
  <c r="I54" i="16"/>
  <c r="G54" i="16"/>
  <c r="O49" i="16"/>
  <c r="H49" i="16"/>
  <c r="O48" i="16"/>
  <c r="P48" i="16" s="1"/>
  <c r="H48" i="16"/>
  <c r="O47" i="16"/>
  <c r="H47" i="16"/>
  <c r="O46" i="16"/>
  <c r="H46" i="16"/>
  <c r="O42" i="16"/>
  <c r="H42" i="16"/>
  <c r="O41" i="16"/>
  <c r="P41" i="16" s="1"/>
  <c r="H41" i="16"/>
  <c r="O40" i="16"/>
  <c r="P40" i="16" s="1"/>
  <c r="H40" i="16"/>
  <c r="O39" i="16"/>
  <c r="P39" i="16" s="1"/>
  <c r="H39" i="16"/>
  <c r="O38" i="16"/>
  <c r="H38" i="16"/>
  <c r="M37" i="16"/>
  <c r="K37" i="16"/>
  <c r="J37" i="16"/>
  <c r="I37" i="16"/>
  <c r="G37" i="16"/>
  <c r="P32" i="16"/>
  <c r="O32" i="16"/>
  <c r="M32" i="16"/>
  <c r="K32" i="16"/>
  <c r="J32" i="16"/>
  <c r="I32" i="16"/>
  <c r="H32" i="16"/>
  <c r="G32" i="16"/>
  <c r="O30" i="16"/>
  <c r="H30" i="16"/>
  <c r="O29" i="16"/>
  <c r="H29" i="16"/>
  <c r="O28" i="16"/>
  <c r="H28" i="16"/>
  <c r="O27" i="16"/>
  <c r="H27" i="16"/>
  <c r="H26" i="16"/>
  <c r="M25" i="16"/>
  <c r="K25" i="16"/>
  <c r="J25" i="16"/>
  <c r="I25" i="16"/>
  <c r="G25" i="16"/>
  <c r="O21" i="16"/>
  <c r="H21" i="16"/>
  <c r="O20" i="16"/>
  <c r="H20" i="16"/>
  <c r="O19" i="16"/>
  <c r="H19" i="16"/>
  <c r="M18" i="16"/>
  <c r="K18" i="16"/>
  <c r="J18" i="16"/>
  <c r="I18" i="16"/>
  <c r="G18" i="16"/>
  <c r="H16" i="16"/>
  <c r="P16" i="16" s="1"/>
  <c r="P15" i="16"/>
  <c r="P14" i="16"/>
  <c r="P13" i="16"/>
  <c r="O12" i="16"/>
  <c r="H12" i="16"/>
  <c r="M11" i="16"/>
  <c r="K11" i="16"/>
  <c r="J11" i="16"/>
  <c r="I11" i="16"/>
  <c r="G11" i="16"/>
  <c r="K317" i="14"/>
  <c r="D317" i="14"/>
  <c r="D316" i="14" s="1"/>
  <c r="D315" i="14" s="1"/>
  <c r="I315" i="14"/>
  <c r="I14" i="17" s="1"/>
  <c r="G315" i="14"/>
  <c r="F315" i="14"/>
  <c r="F14" i="17" s="1"/>
  <c r="H14" i="17" s="1"/>
  <c r="C315" i="14"/>
  <c r="C14" i="17" s="1"/>
  <c r="B315" i="14"/>
  <c r="B14" i="17" s="1"/>
  <c r="K312" i="14"/>
  <c r="D313" i="14"/>
  <c r="I312" i="14"/>
  <c r="G312" i="14"/>
  <c r="F312" i="14"/>
  <c r="C312" i="14"/>
  <c r="K310" i="14"/>
  <c r="K309" i="14" s="1"/>
  <c r="D310" i="14"/>
  <c r="D309" i="14" s="1"/>
  <c r="I309" i="14"/>
  <c r="G309" i="14"/>
  <c r="F309" i="14"/>
  <c r="C309" i="14"/>
  <c r="D306" i="14"/>
  <c r="K298" i="14"/>
  <c r="K297" i="14" s="1"/>
  <c r="D298" i="14"/>
  <c r="I297" i="14"/>
  <c r="G297" i="14"/>
  <c r="F297" i="14"/>
  <c r="K294" i="14"/>
  <c r="L294" i="14" s="1"/>
  <c r="D294" i="14"/>
  <c r="K293" i="14"/>
  <c r="D293" i="14"/>
  <c r="K290" i="14"/>
  <c r="D290" i="14"/>
  <c r="K288" i="14"/>
  <c r="D288" i="14"/>
  <c r="L288" i="14" s="1"/>
  <c r="K287" i="14"/>
  <c r="D287" i="14"/>
  <c r="K286" i="14"/>
  <c r="D286" i="14"/>
  <c r="K285" i="14"/>
  <c r="D285" i="14"/>
  <c r="H283" i="14"/>
  <c r="D284" i="14"/>
  <c r="I283" i="14"/>
  <c r="G283" i="14"/>
  <c r="F283" i="14"/>
  <c r="B282" i="14"/>
  <c r="B12" i="17" s="1"/>
  <c r="K280" i="14"/>
  <c r="D280" i="14"/>
  <c r="K279" i="14"/>
  <c r="D279" i="14"/>
  <c r="K277" i="14"/>
  <c r="D277" i="14"/>
  <c r="K276" i="14"/>
  <c r="D276" i="14"/>
  <c r="K275" i="14"/>
  <c r="D275" i="14"/>
  <c r="H273" i="14"/>
  <c r="D274" i="14"/>
  <c r="I273" i="14"/>
  <c r="G273" i="14"/>
  <c r="F273" i="14"/>
  <c r="K271" i="14"/>
  <c r="D271" i="14"/>
  <c r="H269" i="14"/>
  <c r="D270" i="14"/>
  <c r="I269" i="14"/>
  <c r="G269" i="14"/>
  <c r="F269" i="14"/>
  <c r="C269" i="14"/>
  <c r="K267" i="14"/>
  <c r="D267" i="14"/>
  <c r="K266" i="14"/>
  <c r="D266" i="14"/>
  <c r="K265" i="14"/>
  <c r="D265" i="14"/>
  <c r="K264" i="14"/>
  <c r="D264" i="14"/>
  <c r="D263" i="14"/>
  <c r="K262" i="14"/>
  <c r="D262" i="14"/>
  <c r="K261" i="14"/>
  <c r="D261" i="14"/>
  <c r="L261" i="14" s="1"/>
  <c r="I260" i="14"/>
  <c r="G260" i="14"/>
  <c r="F260" i="14"/>
  <c r="K258" i="14"/>
  <c r="D258" i="14"/>
  <c r="I257" i="14"/>
  <c r="G257" i="14"/>
  <c r="F257" i="14"/>
  <c r="C257" i="14"/>
  <c r="K255" i="14"/>
  <c r="D255" i="14"/>
  <c r="K254" i="14"/>
  <c r="D254" i="14"/>
  <c r="K253" i="14"/>
  <c r="D253" i="14"/>
  <c r="I252" i="14"/>
  <c r="H252" i="14"/>
  <c r="G252" i="14"/>
  <c r="F252" i="14"/>
  <c r="C252" i="14"/>
  <c r="B251" i="14"/>
  <c r="B11" i="17" s="1"/>
  <c r="K249" i="14"/>
  <c r="D249" i="14"/>
  <c r="I248" i="14"/>
  <c r="G248" i="14"/>
  <c r="F248" i="14"/>
  <c r="C248" i="14"/>
  <c r="K246" i="14"/>
  <c r="K244" i="14" s="1"/>
  <c r="D246" i="14"/>
  <c r="D242" i="14"/>
  <c r="L242" i="14" s="1"/>
  <c r="D241" i="14"/>
  <c r="L241" i="14" s="1"/>
  <c r="D240" i="14"/>
  <c r="L240" i="14" s="1"/>
  <c r="D239" i="14"/>
  <c r="L239" i="14" s="1"/>
  <c r="K238" i="14"/>
  <c r="D238" i="14"/>
  <c r="K237" i="14"/>
  <c r="D237" i="14"/>
  <c r="D236" i="14"/>
  <c r="I235" i="14"/>
  <c r="G235" i="14"/>
  <c r="F235" i="14"/>
  <c r="C235" i="14"/>
  <c r="K233" i="14"/>
  <c r="D233" i="14"/>
  <c r="K232" i="14"/>
  <c r="D232" i="14"/>
  <c r="I231" i="14"/>
  <c r="G231" i="14"/>
  <c r="F231" i="14"/>
  <c r="C231" i="14"/>
  <c r="D229" i="14"/>
  <c r="I228" i="14"/>
  <c r="G228" i="14"/>
  <c r="F228" i="14"/>
  <c r="C228" i="14"/>
  <c r="K226" i="14"/>
  <c r="D226" i="14"/>
  <c r="K225" i="14"/>
  <c r="D225" i="14"/>
  <c r="K224" i="14"/>
  <c r="D224" i="14"/>
  <c r="K223" i="14"/>
  <c r="D223" i="14"/>
  <c r="I222" i="14"/>
  <c r="G222" i="14"/>
  <c r="F222" i="14"/>
  <c r="C222" i="14"/>
  <c r="K220" i="14"/>
  <c r="D220" i="14"/>
  <c r="K219" i="14"/>
  <c r="D219" i="14"/>
  <c r="K218" i="14"/>
  <c r="D218" i="14"/>
  <c r="K217" i="14"/>
  <c r="D217" i="14"/>
  <c r="D216" i="14"/>
  <c r="I215" i="14"/>
  <c r="G215" i="14"/>
  <c r="F215" i="14"/>
  <c r="C215" i="14"/>
  <c r="K213" i="14"/>
  <c r="D213" i="14"/>
  <c r="L213" i="14" s="1"/>
  <c r="K212" i="14"/>
  <c r="D212" i="14"/>
  <c r="L212" i="14" s="1"/>
  <c r="K211" i="14"/>
  <c r="D211" i="14"/>
  <c r="I210" i="14"/>
  <c r="G210" i="14"/>
  <c r="F210" i="14"/>
  <c r="C210" i="14"/>
  <c r="K208" i="14"/>
  <c r="D208" i="14"/>
  <c r="K207" i="14"/>
  <c r="D207" i="14"/>
  <c r="K206" i="14"/>
  <c r="D206" i="14"/>
  <c r="D205" i="14"/>
  <c r="I204" i="14"/>
  <c r="G204" i="14"/>
  <c r="F204" i="14"/>
  <c r="C204" i="14"/>
  <c r="K201" i="14"/>
  <c r="D201" i="14"/>
  <c r="K200" i="14"/>
  <c r="D200" i="14"/>
  <c r="K198" i="14"/>
  <c r="D198" i="14"/>
  <c r="I197" i="14"/>
  <c r="G197" i="14"/>
  <c r="F197" i="14"/>
  <c r="K194" i="14"/>
  <c r="D194" i="14"/>
  <c r="K193" i="14"/>
  <c r="D193" i="14"/>
  <c r="D191" i="14"/>
  <c r="I190" i="14"/>
  <c r="G190" i="14"/>
  <c r="F190" i="14"/>
  <c r="C190" i="14"/>
  <c r="K188" i="14"/>
  <c r="D188" i="14"/>
  <c r="K187" i="14"/>
  <c r="D187" i="14"/>
  <c r="I186" i="14"/>
  <c r="G186" i="14"/>
  <c r="F186" i="14"/>
  <c r="K184" i="14"/>
  <c r="D184" i="14"/>
  <c r="K183" i="14"/>
  <c r="D183" i="14"/>
  <c r="K182" i="14"/>
  <c r="D182" i="14"/>
  <c r="K181" i="14"/>
  <c r="D181" i="14"/>
  <c r="H179" i="14"/>
  <c r="D180" i="14"/>
  <c r="I179" i="14"/>
  <c r="G179" i="14"/>
  <c r="F179" i="14"/>
  <c r="C179" i="14"/>
  <c r="K177" i="14"/>
  <c r="D177" i="14"/>
  <c r="L177" i="14" s="1"/>
  <c r="K176" i="14"/>
  <c r="D176" i="14"/>
  <c r="K175" i="14"/>
  <c r="D175" i="14"/>
  <c r="L175" i="14" s="1"/>
  <c r="I174" i="14"/>
  <c r="G174" i="14"/>
  <c r="F174" i="14"/>
  <c r="C174" i="14"/>
  <c r="K172" i="14"/>
  <c r="D172" i="14"/>
  <c r="L172" i="14" s="1"/>
  <c r="D171" i="14"/>
  <c r="G170" i="14"/>
  <c r="F170" i="14"/>
  <c r="C170" i="14"/>
  <c r="B169" i="14"/>
  <c r="B9" i="17" s="1"/>
  <c r="H151" i="14"/>
  <c r="H150" i="14" s="1"/>
  <c r="D151" i="14"/>
  <c r="C142" i="14"/>
  <c r="K148" i="14"/>
  <c r="K146" i="14" s="1"/>
  <c r="D148" i="14"/>
  <c r="F142" i="14"/>
  <c r="H140" i="14"/>
  <c r="D140" i="14"/>
  <c r="G139" i="14"/>
  <c r="F139" i="14"/>
  <c r="C139" i="14"/>
  <c r="K137" i="14"/>
  <c r="D137" i="14"/>
  <c r="K136" i="14"/>
  <c r="D136" i="14"/>
  <c r="L136" i="14" s="1"/>
  <c r="H135" i="14"/>
  <c r="G135" i="14"/>
  <c r="F135" i="14"/>
  <c r="C135" i="14"/>
  <c r="K133" i="14"/>
  <c r="L133" i="14" s="1"/>
  <c r="D133" i="14"/>
  <c r="K130" i="14"/>
  <c r="D130" i="14"/>
  <c r="K129" i="14"/>
  <c r="D129" i="14"/>
  <c r="K128" i="14"/>
  <c r="D128" i="14"/>
  <c r="K127" i="14"/>
  <c r="D127" i="14"/>
  <c r="K126" i="14"/>
  <c r="D126" i="14"/>
  <c r="L126" i="14" s="1"/>
  <c r="G125" i="14"/>
  <c r="F125" i="14"/>
  <c r="C125" i="14"/>
  <c r="K122" i="14"/>
  <c r="D122" i="14"/>
  <c r="K121" i="14"/>
  <c r="D121" i="14"/>
  <c r="K120" i="14"/>
  <c r="D120" i="14"/>
  <c r="K119" i="14"/>
  <c r="D119" i="14"/>
  <c r="K118" i="14"/>
  <c r="D118" i="14"/>
  <c r="K117" i="14"/>
  <c r="D117" i="14"/>
  <c r="L117" i="14" s="1"/>
  <c r="K115" i="14"/>
  <c r="D115" i="14"/>
  <c r="G114" i="14"/>
  <c r="F114" i="14"/>
  <c r="C114" i="14"/>
  <c r="K112" i="14"/>
  <c r="D112" i="14"/>
  <c r="K111" i="14"/>
  <c r="D111" i="14"/>
  <c r="G110" i="14"/>
  <c r="F110" i="14"/>
  <c r="C110" i="14"/>
  <c r="K108" i="14"/>
  <c r="D108" i="14"/>
  <c r="K107" i="14"/>
  <c r="D107" i="14"/>
  <c r="K106" i="14"/>
  <c r="D106" i="14"/>
  <c r="K105" i="14"/>
  <c r="D105" i="14"/>
  <c r="K104" i="14"/>
  <c r="D104" i="14"/>
  <c r="K103" i="14"/>
  <c r="D103" i="14"/>
  <c r="D102" i="14"/>
  <c r="G101" i="14"/>
  <c r="F101" i="14"/>
  <c r="C101" i="14"/>
  <c r="K99" i="14"/>
  <c r="K98" i="14" s="1"/>
  <c r="D99" i="14"/>
  <c r="H98" i="14"/>
  <c r="G98" i="14"/>
  <c r="F98" i="14"/>
  <c r="C98" i="14"/>
  <c r="K96" i="14"/>
  <c r="L96" i="14" s="1"/>
  <c r="D96" i="14"/>
  <c r="K95" i="14"/>
  <c r="D95" i="14"/>
  <c r="K94" i="14"/>
  <c r="D94" i="14"/>
  <c r="K93" i="14"/>
  <c r="D93" i="14"/>
  <c r="G92" i="14"/>
  <c r="F92" i="14"/>
  <c r="C92" i="14"/>
  <c r="K89" i="14"/>
  <c r="D89" i="14"/>
  <c r="D87" i="14" s="1"/>
  <c r="H85" i="14"/>
  <c r="K85" i="14" s="1"/>
  <c r="D85" i="14"/>
  <c r="G84" i="14"/>
  <c r="F84" i="14"/>
  <c r="C84" i="14"/>
  <c r="K82" i="14"/>
  <c r="D82" i="14"/>
  <c r="K81" i="14"/>
  <c r="D81" i="14"/>
  <c r="L81" i="14" s="1"/>
  <c r="K80" i="14"/>
  <c r="D80" i="14"/>
  <c r="K79" i="14"/>
  <c r="D79" i="14"/>
  <c r="K78" i="14"/>
  <c r="D78" i="14"/>
  <c r="G77" i="14"/>
  <c r="F77" i="14"/>
  <c r="C77" i="14"/>
  <c r="D75" i="14"/>
  <c r="L75" i="14" s="1"/>
  <c r="H72" i="14"/>
  <c r="G72" i="14"/>
  <c r="F72" i="14"/>
  <c r="C72" i="14"/>
  <c r="H69" i="14"/>
  <c r="D70" i="14"/>
  <c r="G69" i="14"/>
  <c r="F69" i="14"/>
  <c r="C69" i="14"/>
  <c r="K67" i="14"/>
  <c r="L67" i="14" s="1"/>
  <c r="D67" i="14"/>
  <c r="K65" i="14"/>
  <c r="D65" i="14"/>
  <c r="L65" i="14" s="1"/>
  <c r="K64" i="14"/>
  <c r="D64" i="14"/>
  <c r="L64" i="14" s="1"/>
  <c r="G63" i="14"/>
  <c r="F63" i="14"/>
  <c r="K61" i="14"/>
  <c r="D61" i="14"/>
  <c r="K60" i="14"/>
  <c r="D60" i="14"/>
  <c r="K58" i="14"/>
  <c r="D58" i="14"/>
  <c r="K56" i="14"/>
  <c r="D56" i="14"/>
  <c r="G55" i="14"/>
  <c r="F55" i="14"/>
  <c r="K53" i="14"/>
  <c r="D53" i="14"/>
  <c r="L53" i="14" s="1"/>
  <c r="K52" i="14"/>
  <c r="D52" i="14"/>
  <c r="K51" i="14"/>
  <c r="D51" i="14"/>
  <c r="K50" i="14"/>
  <c r="D50" i="14"/>
  <c r="H48" i="14"/>
  <c r="D49" i="14"/>
  <c r="G48" i="14"/>
  <c r="F48" i="14"/>
  <c r="K46" i="14"/>
  <c r="D46" i="14"/>
  <c r="K45" i="14"/>
  <c r="L45" i="14" s="1"/>
  <c r="D45" i="14"/>
  <c r="K44" i="14"/>
  <c r="D44" i="14"/>
  <c r="K43" i="14"/>
  <c r="D43" i="14"/>
  <c r="G42" i="14"/>
  <c r="F42" i="14"/>
  <c r="C42" i="14"/>
  <c r="K39" i="14"/>
  <c r="D39" i="14"/>
  <c r="D38" i="14"/>
  <c r="K33" i="14"/>
  <c r="D33" i="14"/>
  <c r="L33" i="14" s="1"/>
  <c r="K32" i="14"/>
  <c r="D32" i="14"/>
  <c r="K30" i="14"/>
  <c r="D30" i="14"/>
  <c r="H29" i="14"/>
  <c r="G29" i="14"/>
  <c r="F29" i="14"/>
  <c r="C29" i="14"/>
  <c r="K27" i="14"/>
  <c r="D27" i="14"/>
  <c r="D26" i="14"/>
  <c r="G25" i="14"/>
  <c r="F25" i="14"/>
  <c r="C25" i="14"/>
  <c r="K23" i="14"/>
  <c r="D23" i="14"/>
  <c r="K22" i="14"/>
  <c r="D22" i="14"/>
  <c r="K21" i="14"/>
  <c r="D21" i="14"/>
  <c r="K20" i="14"/>
  <c r="D20" i="14"/>
  <c r="K19" i="14"/>
  <c r="D19" i="14"/>
  <c r="G18" i="14"/>
  <c r="F18" i="14"/>
  <c r="C18" i="14"/>
  <c r="K16" i="14"/>
  <c r="L16" i="14" s="1"/>
  <c r="D16" i="14"/>
  <c r="D13" i="14" s="1"/>
  <c r="K15" i="14"/>
  <c r="L15" i="14" s="1"/>
  <c r="G13" i="14"/>
  <c r="F13" i="14"/>
  <c r="K11" i="14"/>
  <c r="L11" i="14" s="1"/>
  <c r="K10" i="14"/>
  <c r="L10" i="14" s="1"/>
  <c r="G9" i="14"/>
  <c r="F9" i="14"/>
  <c r="L279" i="14" l="1"/>
  <c r="L223" i="14"/>
  <c r="L208" i="14"/>
  <c r="L183" i="14"/>
  <c r="L286" i="14"/>
  <c r="L276" i="14"/>
  <c r="L265" i="14"/>
  <c r="L238" i="14"/>
  <c r="L233" i="14"/>
  <c r="L225" i="14"/>
  <c r="L219" i="14"/>
  <c r="L217" i="14"/>
  <c r="L201" i="14"/>
  <c r="L198" i="14"/>
  <c r="L187" i="14"/>
  <c r="L181" i="14"/>
  <c r="L182" i="14"/>
  <c r="L106" i="14"/>
  <c r="L115" i="14"/>
  <c r="L120" i="14"/>
  <c r="L220" i="14"/>
  <c r="L224" i="14"/>
  <c r="L237" i="14"/>
  <c r="L277" i="14"/>
  <c r="L287" i="14"/>
  <c r="D312" i="14"/>
  <c r="L313" i="14"/>
  <c r="L312" i="14" s="1"/>
  <c r="L127" i="14"/>
  <c r="L193" i="14"/>
  <c r="D248" i="14"/>
  <c r="L249" i="14"/>
  <c r="L248" i="14" s="1"/>
  <c r="L253" i="14"/>
  <c r="L266" i="14"/>
  <c r="L82" i="14"/>
  <c r="L104" i="14"/>
  <c r="L118" i="14"/>
  <c r="L188" i="14"/>
  <c r="L200" i="14"/>
  <c r="L218" i="14"/>
  <c r="L226" i="14"/>
  <c r="L262" i="14"/>
  <c r="L275" i="14"/>
  <c r="L280" i="14"/>
  <c r="L285" i="14"/>
  <c r="L290" i="14"/>
  <c r="L176" i="14"/>
  <c r="L184" i="14"/>
  <c r="L194" i="14"/>
  <c r="L206" i="14"/>
  <c r="L254" i="14"/>
  <c r="D257" i="14"/>
  <c r="L258" i="14"/>
  <c r="L257" i="14" s="1"/>
  <c r="L267" i="14"/>
  <c r="L271" i="14"/>
  <c r="L298" i="14"/>
  <c r="L297" i="14" s="1"/>
  <c r="L207" i="14"/>
  <c r="L211" i="14"/>
  <c r="L232" i="14"/>
  <c r="L255" i="14"/>
  <c r="L264" i="14"/>
  <c r="L293" i="14"/>
  <c r="D305" i="14"/>
  <c r="D300" i="14" s="1"/>
  <c r="L246" i="14"/>
  <c r="L244" i="14" s="1"/>
  <c r="D228" i="14"/>
  <c r="L148" i="14"/>
  <c r="L137" i="14"/>
  <c r="L130" i="14"/>
  <c r="L128" i="14"/>
  <c r="L129" i="14"/>
  <c r="L121" i="14"/>
  <c r="L122" i="14"/>
  <c r="L119" i="14"/>
  <c r="L111" i="14"/>
  <c r="L112" i="14"/>
  <c r="L103" i="14"/>
  <c r="L107" i="14"/>
  <c r="L108" i="14"/>
  <c r="L105" i="14"/>
  <c r="L93" i="14"/>
  <c r="L94" i="14"/>
  <c r="L95" i="14"/>
  <c r="K87" i="14"/>
  <c r="L89" i="14"/>
  <c r="L80" i="14"/>
  <c r="L78" i="14"/>
  <c r="L79" i="14"/>
  <c r="L61" i="14"/>
  <c r="L56" i="14"/>
  <c r="L58" i="14"/>
  <c r="L60" i="14"/>
  <c r="L52" i="14"/>
  <c r="L50" i="14"/>
  <c r="L51" i="14"/>
  <c r="L43" i="14"/>
  <c r="L44" i="14"/>
  <c r="L46" i="14"/>
  <c r="K36" i="14"/>
  <c r="L39" i="14"/>
  <c r="L30" i="14"/>
  <c r="L32" i="14"/>
  <c r="L27" i="14"/>
  <c r="D150" i="14"/>
  <c r="D139" i="14"/>
  <c r="D98" i="14"/>
  <c r="L99" i="14"/>
  <c r="D84" i="14"/>
  <c r="L85" i="14"/>
  <c r="L84" i="14" s="1"/>
  <c r="D69" i="14"/>
  <c r="D36" i="14"/>
  <c r="L38" i="14"/>
  <c r="L23" i="14"/>
  <c r="L22" i="14"/>
  <c r="L21" i="14"/>
  <c r="L20" i="14"/>
  <c r="L19" i="14"/>
  <c r="P57" i="16"/>
  <c r="P290" i="16"/>
  <c r="P287" i="16"/>
  <c r="P169" i="16"/>
  <c r="P167" i="16"/>
  <c r="P166" i="16"/>
  <c r="P153" i="16"/>
  <c r="P147" i="16"/>
  <c r="P144" i="16"/>
  <c r="P143" i="16"/>
  <c r="P131" i="16"/>
  <c r="P108" i="16"/>
  <c r="P107" i="16"/>
  <c r="P106" i="16"/>
  <c r="P74" i="16"/>
  <c r="P72" i="16"/>
  <c r="P63" i="16"/>
  <c r="P62" i="16"/>
  <c r="P288" i="16"/>
  <c r="P289" i="16"/>
  <c r="P286" i="16"/>
  <c r="P285" i="16"/>
  <c r="P283" i="16"/>
  <c r="P165" i="16"/>
  <c r="P146" i="16"/>
  <c r="P133" i="16"/>
  <c r="P130" i="16"/>
  <c r="P111" i="16"/>
  <c r="P110" i="16"/>
  <c r="P103" i="16"/>
  <c r="P99" i="16"/>
  <c r="P83" i="16"/>
  <c r="P81" i="16"/>
  <c r="P80" i="16"/>
  <c r="P71" i="16"/>
  <c r="P65" i="16"/>
  <c r="P12" i="16"/>
  <c r="P56" i="16"/>
  <c r="P49" i="16"/>
  <c r="P47" i="16"/>
  <c r="P46" i="16"/>
  <c r="P42" i="16"/>
  <c r="P38" i="16"/>
  <c r="P30" i="16"/>
  <c r="P29" i="16"/>
  <c r="P28" i="16"/>
  <c r="P27" i="16"/>
  <c r="P19" i="16"/>
  <c r="O121" i="16"/>
  <c r="P125" i="16"/>
  <c r="O301" i="16"/>
  <c r="P302" i="16"/>
  <c r="P301" i="16" s="1"/>
  <c r="O264" i="16"/>
  <c r="P265" i="16"/>
  <c r="P264" i="16" s="1"/>
  <c r="O92" i="16"/>
  <c r="P93" i="16"/>
  <c r="P92" i="16" s="1"/>
  <c r="D14" i="17"/>
  <c r="B16" i="17"/>
  <c r="K77" i="14"/>
  <c r="K9" i="14"/>
  <c r="G282" i="14"/>
  <c r="H44" i="16"/>
  <c r="O44" i="16"/>
  <c r="K125" i="14"/>
  <c r="C196" i="14"/>
  <c r="K135" i="14"/>
  <c r="K110" i="14"/>
  <c r="K63" i="14"/>
  <c r="K55" i="14"/>
  <c r="K42" i="14"/>
  <c r="K18" i="14"/>
  <c r="K114" i="14"/>
  <c r="K92" i="14"/>
  <c r="K29" i="14"/>
  <c r="M237" i="16"/>
  <c r="M216" i="16" s="1"/>
  <c r="I244" i="16"/>
  <c r="I237" i="16" s="1"/>
  <c r="I216" i="16" s="1"/>
  <c r="I36" i="16"/>
  <c r="G36" i="16"/>
  <c r="H380" i="16"/>
  <c r="P381" i="16"/>
  <c r="P179" i="16" s="1"/>
  <c r="H309" i="16"/>
  <c r="P309" i="16" s="1"/>
  <c r="P310" i="16"/>
  <c r="K36" i="16"/>
  <c r="H37" i="16"/>
  <c r="C8" i="14"/>
  <c r="D146" i="14"/>
  <c r="D142" i="14" s="1"/>
  <c r="G142" i="14"/>
  <c r="H142" i="14"/>
  <c r="D292" i="14"/>
  <c r="K292" i="14"/>
  <c r="K52" i="16"/>
  <c r="H244" i="16"/>
  <c r="H237" i="16" s="1"/>
  <c r="H216" i="16" s="1"/>
  <c r="K127" i="16"/>
  <c r="I171" i="16"/>
  <c r="K171" i="16"/>
  <c r="G179" i="16"/>
  <c r="K179" i="16"/>
  <c r="P274" i="16"/>
  <c r="P276" i="16"/>
  <c r="P278" i="16"/>
  <c r="F169" i="14"/>
  <c r="D190" i="14"/>
  <c r="J281" i="16"/>
  <c r="J270" i="16" s="1"/>
  <c r="J237" i="16"/>
  <c r="J216" i="16" s="1"/>
  <c r="J36" i="16"/>
  <c r="J10" i="16"/>
  <c r="H151" i="16"/>
  <c r="H18" i="16"/>
  <c r="G10" i="16"/>
  <c r="P20" i="16"/>
  <c r="H129" i="16"/>
  <c r="P273" i="16"/>
  <c r="P275" i="16"/>
  <c r="P277" i="16"/>
  <c r="C356" i="16"/>
  <c r="P355" i="16"/>
  <c r="O179" i="16"/>
  <c r="O380" i="16"/>
  <c r="C369" i="16"/>
  <c r="G300" i="14"/>
  <c r="I300" i="14"/>
  <c r="I13" i="17" s="1"/>
  <c r="F91" i="14"/>
  <c r="F300" i="14"/>
  <c r="F13" i="17" s="1"/>
  <c r="H13" i="17" s="1"/>
  <c r="G124" i="14"/>
  <c r="I169" i="14"/>
  <c r="I9" i="17" s="1"/>
  <c r="D197" i="14"/>
  <c r="F35" i="14"/>
  <c r="D186" i="14"/>
  <c r="G251" i="14"/>
  <c r="C300" i="14"/>
  <c r="C13" i="17" s="1"/>
  <c r="D13" i="17" s="1"/>
  <c r="H11" i="16"/>
  <c r="I9" i="16"/>
  <c r="G196" i="14"/>
  <c r="D222" i="14"/>
  <c r="D269" i="14"/>
  <c r="K151" i="14"/>
  <c r="L151" i="14" s="1"/>
  <c r="D215" i="14"/>
  <c r="F282" i="14"/>
  <c r="C124" i="14"/>
  <c r="G169" i="14"/>
  <c r="F196" i="14"/>
  <c r="F8" i="14"/>
  <c r="D25" i="14"/>
  <c r="F251" i="14"/>
  <c r="F11" i="17" s="1"/>
  <c r="H11" i="17" s="1"/>
  <c r="D252" i="14"/>
  <c r="D179" i="14"/>
  <c r="D170" i="14"/>
  <c r="D135" i="14"/>
  <c r="D110" i="14"/>
  <c r="D29" i="14"/>
  <c r="J127" i="16"/>
  <c r="H271" i="16"/>
  <c r="C238" i="16"/>
  <c r="H68" i="16"/>
  <c r="H25" i="16"/>
  <c r="P21" i="16"/>
  <c r="I25" i="18"/>
  <c r="I18" i="18"/>
  <c r="J18" i="18" s="1"/>
  <c r="H17" i="18"/>
  <c r="I19" i="18"/>
  <c r="J19" i="18" s="1"/>
  <c r="K19" i="18" s="1"/>
  <c r="I23" i="18"/>
  <c r="J23" i="18" s="1"/>
  <c r="K23" i="18" s="1"/>
  <c r="I22" i="18"/>
  <c r="J22" i="18" s="1"/>
  <c r="K22" i="18" s="1"/>
  <c r="K316" i="14"/>
  <c r="K315" i="14" s="1"/>
  <c r="D283" i="14"/>
  <c r="D273" i="14"/>
  <c r="D260" i="14"/>
  <c r="D210" i="14"/>
  <c r="C169" i="14"/>
  <c r="D72" i="14"/>
  <c r="D63" i="14"/>
  <c r="D48" i="14"/>
  <c r="D42" i="14"/>
  <c r="J52" i="16"/>
  <c r="G237" i="16"/>
  <c r="G216" i="16" s="1"/>
  <c r="K9" i="16"/>
  <c r="C37" i="16"/>
  <c r="I127" i="16"/>
  <c r="C282" i="16"/>
  <c r="C281" i="16" s="1"/>
  <c r="C268" i="16" s="1"/>
  <c r="K237" i="16"/>
  <c r="K216" i="16" s="1"/>
  <c r="J9" i="16"/>
  <c r="G171" i="16"/>
  <c r="I179" i="16"/>
  <c r="O171" i="16"/>
  <c r="H171" i="16"/>
  <c r="K281" i="16"/>
  <c r="K270" i="16" s="1"/>
  <c r="C10" i="16"/>
  <c r="I10" i="16"/>
  <c r="I52" i="16"/>
  <c r="H54" i="16"/>
  <c r="M171" i="16"/>
  <c r="P185" i="16"/>
  <c r="J171" i="16"/>
  <c r="I281" i="16"/>
  <c r="I270" i="16" s="1"/>
  <c r="H179" i="16"/>
  <c r="I308" i="16"/>
  <c r="G308" i="16"/>
  <c r="K308" i="16"/>
  <c r="O308" i="16"/>
  <c r="J308" i="16"/>
  <c r="H334" i="16"/>
  <c r="M334" i="16"/>
  <c r="I334" i="16"/>
  <c r="P334" i="16"/>
  <c r="J334" i="16"/>
  <c r="O334" i="16"/>
  <c r="G355" i="16"/>
  <c r="K355" i="16"/>
  <c r="O355" i="16"/>
  <c r="I355" i="16"/>
  <c r="J355" i="16"/>
  <c r="M355" i="16"/>
  <c r="H355" i="16"/>
  <c r="G334" i="16"/>
  <c r="K334" i="16"/>
  <c r="H308" i="16"/>
  <c r="P100" i="16"/>
  <c r="H97" i="16"/>
  <c r="H61" i="16"/>
  <c r="G9" i="16"/>
  <c r="H77" i="16"/>
  <c r="H102" i="16"/>
  <c r="H161" i="16"/>
  <c r="H142" i="16"/>
  <c r="M36" i="16"/>
  <c r="M10" i="16"/>
  <c r="C48" i="18"/>
  <c r="B10" i="18"/>
  <c r="G48" i="18"/>
  <c r="D27" i="18"/>
  <c r="K27" i="18" s="1"/>
  <c r="J35" i="18"/>
  <c r="K35" i="18" s="1"/>
  <c r="D18" i="18"/>
  <c r="D17" i="18" s="1"/>
  <c r="J26" i="18"/>
  <c r="K222" i="14"/>
  <c r="J14" i="17"/>
  <c r="K14" i="17" s="1"/>
  <c r="K197" i="14"/>
  <c r="K174" i="14"/>
  <c r="L146" i="14"/>
  <c r="M281" i="16"/>
  <c r="M270" i="16" s="1"/>
  <c r="J38" i="18"/>
  <c r="K38" i="18" s="1"/>
  <c r="K31" i="18"/>
  <c r="B33" i="18"/>
  <c r="J39" i="18"/>
  <c r="K39" i="18" s="1"/>
  <c r="J20" i="18"/>
  <c r="K20" i="18" s="1"/>
  <c r="K21" i="18"/>
  <c r="K29" i="18"/>
  <c r="K37" i="18"/>
  <c r="H33" i="18"/>
  <c r="D297" i="14"/>
  <c r="C251" i="14"/>
  <c r="D235" i="14"/>
  <c r="D204" i="14"/>
  <c r="D114" i="14"/>
  <c r="D101" i="14"/>
  <c r="D125" i="14"/>
  <c r="C91" i="14"/>
  <c r="D92" i="14"/>
  <c r="D77" i="14"/>
  <c r="D55" i="14"/>
  <c r="C35" i="14"/>
  <c r="I251" i="14"/>
  <c r="I11" i="17" s="1"/>
  <c r="I282" i="14"/>
  <c r="I12" i="17" s="1"/>
  <c r="H101" i="14"/>
  <c r="H125" i="14"/>
  <c r="H260" i="14"/>
  <c r="K252" i="14"/>
  <c r="K231" i="14"/>
  <c r="I196" i="14"/>
  <c r="I10" i="17" s="1"/>
  <c r="K210" i="14"/>
  <c r="K186" i="14"/>
  <c r="H197" i="14"/>
  <c r="H210" i="14"/>
  <c r="H235" i="14"/>
  <c r="K274" i="14"/>
  <c r="K273" i="14" s="1"/>
  <c r="H174" i="14"/>
  <c r="H222" i="14"/>
  <c r="H231" i="14"/>
  <c r="K263" i="14"/>
  <c r="K260" i="14" s="1"/>
  <c r="K306" i="14"/>
  <c r="L306" i="14" s="1"/>
  <c r="K180" i="14"/>
  <c r="L180" i="14" s="1"/>
  <c r="H186" i="14"/>
  <c r="H215" i="14"/>
  <c r="L317" i="14"/>
  <c r="G8" i="14"/>
  <c r="G91" i="14"/>
  <c r="G35" i="14"/>
  <c r="F124" i="14"/>
  <c r="F12" i="17" s="1"/>
  <c r="H12" i="17" s="1"/>
  <c r="H110" i="14"/>
  <c r="H13" i="14"/>
  <c r="K70" i="14"/>
  <c r="K69" i="14" s="1"/>
  <c r="H77" i="14"/>
  <c r="L87" i="14"/>
  <c r="H9" i="14"/>
  <c r="K14" i="14"/>
  <c r="L14" i="14" s="1"/>
  <c r="H42" i="14"/>
  <c r="H55" i="14"/>
  <c r="L98" i="14"/>
  <c r="M308" i="16"/>
  <c r="M127" i="16"/>
  <c r="M52" i="16"/>
  <c r="M9" i="16"/>
  <c r="P244" i="16"/>
  <c r="O244" i="16"/>
  <c r="O237" i="16" s="1"/>
  <c r="O37" i="16"/>
  <c r="G281" i="16"/>
  <c r="G270" i="16" s="1"/>
  <c r="H282" i="16"/>
  <c r="H281" i="16" s="1"/>
  <c r="G127" i="16"/>
  <c r="H86" i="16"/>
  <c r="G52" i="16"/>
  <c r="K36" i="18"/>
  <c r="K30" i="18"/>
  <c r="D10" i="18"/>
  <c r="D33" i="18"/>
  <c r="K12" i="18"/>
  <c r="K14" i="18"/>
  <c r="K16" i="18"/>
  <c r="K13" i="18"/>
  <c r="K15" i="18"/>
  <c r="J11" i="18"/>
  <c r="J10" i="18" s="1"/>
  <c r="O11" i="16"/>
  <c r="O18" i="16"/>
  <c r="O61" i="16"/>
  <c r="O77" i="16"/>
  <c r="O98" i="16"/>
  <c r="P98" i="16" s="1"/>
  <c r="C335" i="16"/>
  <c r="K10" i="16"/>
  <c r="O26" i="16"/>
  <c r="P26" i="16" s="1"/>
  <c r="O55" i="16"/>
  <c r="O69" i="16"/>
  <c r="P69" i="16" s="1"/>
  <c r="O129" i="16"/>
  <c r="O142" i="16"/>
  <c r="O152" i="16"/>
  <c r="O118" i="16"/>
  <c r="P118" i="16" s="1"/>
  <c r="O87" i="16"/>
  <c r="P87" i="16" s="1"/>
  <c r="O102" i="16"/>
  <c r="O162" i="16"/>
  <c r="P162" i="16" s="1"/>
  <c r="C206" i="16"/>
  <c r="O272" i="16"/>
  <c r="P272" i="16" s="1"/>
  <c r="C309" i="16"/>
  <c r="P121" i="16"/>
  <c r="O139" i="16"/>
  <c r="P279" i="16"/>
  <c r="O282" i="16"/>
  <c r="O281" i="16" s="1"/>
  <c r="C355" i="16"/>
  <c r="D18" i="14"/>
  <c r="H18" i="14"/>
  <c r="K26" i="14"/>
  <c r="L26" i="14" s="1"/>
  <c r="H25" i="14"/>
  <c r="K84" i="14"/>
  <c r="K140" i="14"/>
  <c r="K139" i="14" s="1"/>
  <c r="H139" i="14"/>
  <c r="K205" i="14"/>
  <c r="L205" i="14" s="1"/>
  <c r="H204" i="14"/>
  <c r="K49" i="14"/>
  <c r="K48" i="14" s="1"/>
  <c r="H63" i="14"/>
  <c r="H84" i="14"/>
  <c r="H92" i="14"/>
  <c r="K102" i="14"/>
  <c r="K101" i="14" s="1"/>
  <c r="H114" i="14"/>
  <c r="K229" i="14"/>
  <c r="L229" i="14" s="1"/>
  <c r="H228" i="14"/>
  <c r="L310" i="14"/>
  <c r="L309" i="14" s="1"/>
  <c r="B320" i="14"/>
  <c r="K171" i="14"/>
  <c r="L171" i="14" s="1"/>
  <c r="H170" i="14"/>
  <c r="D174" i="14"/>
  <c r="K191" i="14"/>
  <c r="K190" i="14" s="1"/>
  <c r="H190" i="14"/>
  <c r="D231" i="14"/>
  <c r="K248" i="14"/>
  <c r="K257" i="14"/>
  <c r="K216" i="14"/>
  <c r="L216" i="14" s="1"/>
  <c r="K236" i="14"/>
  <c r="L236" i="14" s="1"/>
  <c r="H248" i="14"/>
  <c r="H257" i="14"/>
  <c r="K270" i="14"/>
  <c r="L270" i="14" s="1"/>
  <c r="K284" i="14"/>
  <c r="L284" i="14" s="1"/>
  <c r="H297" i="14"/>
  <c r="H309" i="14"/>
  <c r="H300" i="14" s="1"/>
  <c r="H315" i="14"/>
  <c r="L174" i="14" l="1"/>
  <c r="F9" i="17"/>
  <c r="H9" i="17" s="1"/>
  <c r="F10" i="17"/>
  <c r="H10" i="17" s="1"/>
  <c r="J10" i="17" s="1"/>
  <c r="L263" i="14"/>
  <c r="L260" i="14" s="1"/>
  <c r="L274" i="14"/>
  <c r="L273" i="14" s="1"/>
  <c r="L191" i="14"/>
  <c r="L190" i="14" s="1"/>
  <c r="L140" i="14"/>
  <c r="L139" i="14" s="1"/>
  <c r="L102" i="14"/>
  <c r="L70" i="14"/>
  <c r="L49" i="14"/>
  <c r="L48" i="14" s="1"/>
  <c r="H270" i="16"/>
  <c r="H268" i="16" s="1"/>
  <c r="O216" i="16"/>
  <c r="O151" i="16"/>
  <c r="P152" i="16"/>
  <c r="O136" i="16"/>
  <c r="P139" i="16"/>
  <c r="P136" i="16" s="1"/>
  <c r="K150" i="14"/>
  <c r="K142" i="14" s="1"/>
  <c r="J13" i="17"/>
  <c r="K13" i="17" s="1"/>
  <c r="K170" i="14"/>
  <c r="K25" i="14"/>
  <c r="K8" i="14" s="1"/>
  <c r="K13" i="14"/>
  <c r="C10" i="17"/>
  <c r="D10" i="17" s="1"/>
  <c r="D8" i="14"/>
  <c r="P44" i="16"/>
  <c r="G158" i="14"/>
  <c r="K305" i="14"/>
  <c r="K300" i="14" s="1"/>
  <c r="C11" i="17"/>
  <c r="D11" i="17" s="1"/>
  <c r="C9" i="17"/>
  <c r="D9" i="17" s="1"/>
  <c r="K35" i="14"/>
  <c r="L36" i="14"/>
  <c r="F158" i="14"/>
  <c r="P308" i="16"/>
  <c r="P380" i="16"/>
  <c r="K51" i="16"/>
  <c r="K8" i="16" s="1"/>
  <c r="K7" i="16" s="1"/>
  <c r="L292" i="14"/>
  <c r="G320" i="14"/>
  <c r="J268" i="16"/>
  <c r="K268" i="16"/>
  <c r="L135" i="14"/>
  <c r="I268" i="16"/>
  <c r="J51" i="16"/>
  <c r="H10" i="16"/>
  <c r="F320" i="14"/>
  <c r="D169" i="14"/>
  <c r="H251" i="14"/>
  <c r="C158" i="14"/>
  <c r="H124" i="14"/>
  <c r="D124" i="14"/>
  <c r="D251" i="14"/>
  <c r="D35" i="14"/>
  <c r="M268" i="16"/>
  <c r="P18" i="16"/>
  <c r="C9" i="16"/>
  <c r="H9" i="16"/>
  <c r="D25" i="18"/>
  <c r="D48" i="18" s="1"/>
  <c r="B48" i="18"/>
  <c r="K26" i="18"/>
  <c r="J17" i="18"/>
  <c r="I17" i="18"/>
  <c r="L316" i="14"/>
  <c r="L315" i="14" s="1"/>
  <c r="J11" i="17"/>
  <c r="D282" i="14"/>
  <c r="L252" i="14"/>
  <c r="D196" i="14"/>
  <c r="D91" i="14"/>
  <c r="L29" i="14"/>
  <c r="P129" i="16"/>
  <c r="P142" i="16"/>
  <c r="H36" i="16"/>
  <c r="I51" i="16"/>
  <c r="G268" i="16"/>
  <c r="H127" i="16"/>
  <c r="H52" i="16"/>
  <c r="H48" i="18"/>
  <c r="J12" i="17"/>
  <c r="L63" i="14"/>
  <c r="L42" i="14"/>
  <c r="L92" i="14"/>
  <c r="L13" i="14"/>
  <c r="L9" i="14"/>
  <c r="P282" i="16"/>
  <c r="P281" i="16" s="1"/>
  <c r="M51" i="16"/>
  <c r="J28" i="18"/>
  <c r="J25" i="18" s="1"/>
  <c r="I33" i="18"/>
  <c r="J34" i="18"/>
  <c r="K18" i="18"/>
  <c r="K17" i="18" s="1"/>
  <c r="L231" i="14"/>
  <c r="L114" i="14"/>
  <c r="I320" i="14"/>
  <c r="K124" i="14"/>
  <c r="L210" i="14"/>
  <c r="L186" i="14"/>
  <c r="H282" i="14"/>
  <c r="K179" i="14"/>
  <c r="K169" i="14" s="1"/>
  <c r="L179" i="14"/>
  <c r="L125" i="14"/>
  <c r="L110" i="14"/>
  <c r="L77" i="14"/>
  <c r="L55" i="14"/>
  <c r="H8" i="14"/>
  <c r="L18" i="14"/>
  <c r="L69" i="14"/>
  <c r="P260" i="16"/>
  <c r="P151" i="16"/>
  <c r="P61" i="16"/>
  <c r="O36" i="16"/>
  <c r="P37" i="16"/>
  <c r="P11" i="16"/>
  <c r="P102" i="16"/>
  <c r="P77" i="16"/>
  <c r="G51" i="16"/>
  <c r="K11" i="18"/>
  <c r="P25" i="16"/>
  <c r="O25" i="16"/>
  <c r="O9" i="16" s="1"/>
  <c r="P271" i="16"/>
  <c r="O271" i="16"/>
  <c r="O270" i="16" s="1"/>
  <c r="O268" i="16" s="1"/>
  <c r="C51" i="16"/>
  <c r="P55" i="16"/>
  <c r="P54" i="16" s="1"/>
  <c r="O54" i="16"/>
  <c r="C334" i="16"/>
  <c r="P68" i="16"/>
  <c r="O68" i="16"/>
  <c r="P161" i="16"/>
  <c r="O161" i="16"/>
  <c r="O127" i="16" s="1"/>
  <c r="O86" i="16"/>
  <c r="P86" i="16"/>
  <c r="P113" i="16"/>
  <c r="O113" i="16"/>
  <c r="P97" i="16"/>
  <c r="O97" i="16"/>
  <c r="L222" i="14"/>
  <c r="H35" i="14"/>
  <c r="L197" i="14"/>
  <c r="K215" i="14"/>
  <c r="L215" i="14"/>
  <c r="L72" i="14"/>
  <c r="K235" i="14"/>
  <c r="L235" i="14"/>
  <c r="L269" i="14"/>
  <c r="K269" i="14"/>
  <c r="K251" i="14" s="1"/>
  <c r="L170" i="14"/>
  <c r="L228" i="14"/>
  <c r="K228" i="14"/>
  <c r="L101" i="14"/>
  <c r="K91" i="14"/>
  <c r="H196" i="14"/>
  <c r="L283" i="14"/>
  <c r="K283" i="14"/>
  <c r="K282" i="14" s="1"/>
  <c r="H169" i="14"/>
  <c r="H91" i="14"/>
  <c r="L204" i="14"/>
  <c r="K204" i="14"/>
  <c r="L25" i="14"/>
  <c r="E10" i="7"/>
  <c r="D26" i="4"/>
  <c r="B26" i="4"/>
  <c r="F25" i="4"/>
  <c r="F24" i="4"/>
  <c r="F23" i="4"/>
  <c r="F21" i="4"/>
  <c r="F20" i="4"/>
  <c r="F17" i="4"/>
  <c r="F16" i="4"/>
  <c r="F15" i="4"/>
  <c r="F14" i="4"/>
  <c r="F13" i="4"/>
  <c r="F12" i="4"/>
  <c r="F9" i="4"/>
  <c r="F8" i="4"/>
  <c r="F6" i="4"/>
  <c r="F5" i="4"/>
  <c r="F4" i="4"/>
  <c r="F16" i="17" l="1"/>
  <c r="L150" i="14"/>
  <c r="L142" i="14" s="1"/>
  <c r="K11" i="17"/>
  <c r="L305" i="14"/>
  <c r="L300" i="14" s="1"/>
  <c r="H158" i="14"/>
  <c r="K158" i="14"/>
  <c r="O160" i="14" s="1"/>
  <c r="J8" i="16"/>
  <c r="J7" i="16" s="1"/>
  <c r="J385" i="16" s="1"/>
  <c r="I8" i="16"/>
  <c r="I7" i="16" s="1"/>
  <c r="I385" i="16" s="1"/>
  <c r="M8" i="16"/>
  <c r="M7" i="16" s="1"/>
  <c r="M385" i="16" s="1"/>
  <c r="G8" i="16"/>
  <c r="G7" i="16" s="1"/>
  <c r="G385" i="16" s="1"/>
  <c r="K10" i="17"/>
  <c r="G322" i="14"/>
  <c r="L124" i="14"/>
  <c r="K385" i="16"/>
  <c r="F322" i="14"/>
  <c r="P237" i="16"/>
  <c r="P216" i="16" s="1"/>
  <c r="D320" i="14"/>
  <c r="D158" i="14"/>
  <c r="C8" i="16"/>
  <c r="C7" i="16" s="1"/>
  <c r="C385" i="16" s="1"/>
  <c r="P270" i="16"/>
  <c r="P268" i="16" s="1"/>
  <c r="H51" i="16"/>
  <c r="P36" i="16"/>
  <c r="I48" i="18"/>
  <c r="L169" i="14"/>
  <c r="L251" i="14"/>
  <c r="L8" i="14"/>
  <c r="K34" i="18"/>
  <c r="K33" i="18" s="1"/>
  <c r="J33" i="18"/>
  <c r="K28" i="18"/>
  <c r="K25" i="18" s="1"/>
  <c r="L282" i="14"/>
  <c r="L91" i="14"/>
  <c r="I322" i="14"/>
  <c r="K196" i="14"/>
  <c r="K320" i="14" s="1"/>
  <c r="O161" i="14" s="1"/>
  <c r="H320" i="14"/>
  <c r="L35" i="14"/>
  <c r="P9" i="16"/>
  <c r="O10" i="16"/>
  <c r="P10" i="16"/>
  <c r="P127" i="16"/>
  <c r="K10" i="18"/>
  <c r="O52" i="16"/>
  <c r="O51" i="16" s="1"/>
  <c r="P52" i="16"/>
  <c r="L196" i="14"/>
  <c r="E26" i="4"/>
  <c r="F26" i="4"/>
  <c r="C10" i="7"/>
  <c r="D10" i="7"/>
  <c r="B10" i="7"/>
  <c r="B11" i="3"/>
  <c r="D15" i="3" s="1"/>
  <c r="C11" i="3"/>
  <c r="D16" i="3" s="1"/>
  <c r="D11" i="3"/>
  <c r="D17" i="3" s="1"/>
  <c r="E10" i="2"/>
  <c r="O162" i="14" l="1"/>
  <c r="L158" i="14"/>
  <c r="O8" i="16"/>
  <c r="O7" i="16" s="1"/>
  <c r="O385" i="16" s="1"/>
  <c r="H8" i="16"/>
  <c r="H7" i="16" s="1"/>
  <c r="H385" i="16" s="1"/>
  <c r="D322" i="14"/>
  <c r="L320" i="14"/>
  <c r="J48" i="18"/>
  <c r="K48" i="18"/>
  <c r="H322" i="14"/>
  <c r="P51" i="16"/>
  <c r="H10" i="7"/>
  <c r="E11" i="2"/>
  <c r="P8" i="16" l="1"/>
  <c r="P7" i="16" s="1"/>
  <c r="P385" i="16" s="1"/>
  <c r="K322" i="14"/>
  <c r="L322" i="14"/>
  <c r="E13" i="2"/>
  <c r="B322" i="14"/>
  <c r="C282" i="14"/>
  <c r="D19" i="20"/>
  <c r="D21" i="20" s="1"/>
  <c r="C21" i="20"/>
  <c r="C22" i="20" s="1"/>
  <c r="C320" i="14" l="1"/>
  <c r="C322" i="14" s="1"/>
  <c r="C12" i="17"/>
  <c r="D22" i="20"/>
  <c r="E22" i="20" s="1"/>
  <c r="E21" i="20"/>
  <c r="E19" i="20"/>
  <c r="C15" i="21"/>
  <c r="C33" i="21" s="1"/>
  <c r="D33" i="21" s="1"/>
  <c r="E33" i="21" s="1"/>
  <c r="D14" i="21"/>
  <c r="D15" i="21" s="1"/>
  <c r="D12" i="17" l="1"/>
  <c r="C16" i="17"/>
  <c r="E14" i="21"/>
  <c r="E15" i="21"/>
  <c r="J9" i="17"/>
  <c r="H16" i="17"/>
  <c r="K12" i="17" l="1"/>
  <c r="D16" i="17"/>
  <c r="K9" i="17"/>
  <c r="J16" i="17"/>
  <c r="I16" i="17"/>
  <c r="K16" i="17" l="1"/>
</calcChain>
</file>

<file path=xl/sharedStrings.xml><?xml version="1.0" encoding="utf-8"?>
<sst xmlns="http://schemas.openxmlformats.org/spreadsheetml/2006/main" count="1188" uniqueCount="694">
  <si>
    <t>Comisión Nacional de Prevención de Riesgos y Atención de Emergencias</t>
  </si>
  <si>
    <t>Ejecutado</t>
  </si>
  <si>
    <t>% Ejecución</t>
  </si>
  <si>
    <t>Distribución de Egresos</t>
  </si>
  <si>
    <t>Partida</t>
  </si>
  <si>
    <t>0. Remuneraciones</t>
  </si>
  <si>
    <t>1. Servicios</t>
  </si>
  <si>
    <t>2. Materiales y suministros</t>
  </si>
  <si>
    <t>5. Bienes Duraderos</t>
  </si>
  <si>
    <t>Presupuesto</t>
  </si>
  <si>
    <t>Egresos</t>
  </si>
  <si>
    <t>% de Ejecución</t>
  </si>
  <si>
    <t>6. Transferencias corrientes</t>
  </si>
  <si>
    <t>7. Transferencias de Capital</t>
  </si>
  <si>
    <t>Periodo</t>
  </si>
  <si>
    <t>Acumulado</t>
  </si>
  <si>
    <t>Unidad</t>
  </si>
  <si>
    <t xml:space="preserve">Presupuesto </t>
  </si>
  <si>
    <t>Disponible</t>
  </si>
  <si>
    <t>Presidencia-Junta Directiva</t>
  </si>
  <si>
    <t>Auditoria Intena</t>
  </si>
  <si>
    <t>Comunicación Institucional</t>
  </si>
  <si>
    <t>Cooperación y Relaciones Internacionales</t>
  </si>
  <si>
    <t>Dirección Ejecutiva</t>
  </si>
  <si>
    <t>Asesoría Legal</t>
  </si>
  <si>
    <t>Planificación Institucional</t>
  </si>
  <si>
    <t>Contraloria de Servicios</t>
  </si>
  <si>
    <t>Técnologías de Información</t>
  </si>
  <si>
    <t>Dirección Gestión Adm.</t>
  </si>
  <si>
    <t>Proveeduria</t>
  </si>
  <si>
    <t>Servicios Generales</t>
  </si>
  <si>
    <t>Recursos Financieros</t>
  </si>
  <si>
    <t>Desarrollo Humano</t>
  </si>
  <si>
    <t>Dirección de Gestión del Riesgo</t>
  </si>
  <si>
    <t>Normalización y Asesoría</t>
  </si>
  <si>
    <t>Planificación del SNGR</t>
  </si>
  <si>
    <t>Gestión de Operaciones</t>
  </si>
  <si>
    <t>Gestión de Procesos de Reconstrucción</t>
  </si>
  <si>
    <t>Total General</t>
  </si>
  <si>
    <t>Informe de ejecución de egresos</t>
  </si>
  <si>
    <t>Presidencia</t>
  </si>
  <si>
    <t>Dirección de Gestión Administrativa</t>
  </si>
  <si>
    <t>Informe  de ejecución de egresos por Dirección</t>
  </si>
  <si>
    <t>Investigación y Análisis del Riesgo</t>
  </si>
  <si>
    <t>Total general</t>
  </si>
  <si>
    <t>Este trimestre</t>
  </si>
  <si>
    <t>COMISION NACIONAL DE PREVENCION DE RIESGOS Y ATENCION DE EMERGENCIAS</t>
  </si>
  <si>
    <t>EJECUCION PRESUPUESTARIA DE EGRESOS</t>
  </si>
  <si>
    <t>DETALLE DE CUENTAS A NIVEL DE PARTIDA, GRUPO Y SUBPARTIDA</t>
  </si>
  <si>
    <t>PROGRAMA DE GESTION ADMINISTRATIVA</t>
  </si>
  <si>
    <t>Cuenta</t>
  </si>
  <si>
    <t>Presupuesto aprobado</t>
  </si>
  <si>
    <t>Modificaciones</t>
  </si>
  <si>
    <t>Presupuesto total</t>
  </si>
  <si>
    <t>Trimestre 1</t>
  </si>
  <si>
    <t>Trimestre 2</t>
  </si>
  <si>
    <t>Trimestre 3</t>
  </si>
  <si>
    <t>Acumulado trimestre anterior</t>
  </si>
  <si>
    <t>Disponible acumulado</t>
  </si>
  <si>
    <t>0. REMUNERACIONES</t>
  </si>
  <si>
    <t>0.01 REMUNERACIONES BÁSICAS</t>
  </si>
  <si>
    <t>0.01.01 SUELDOS PARA CARGOS FIJOS</t>
  </si>
  <si>
    <t>0.01.05 SUPLENCIAS</t>
  </si>
  <si>
    <t>0.02 . REMUNERACIONES EVENTUALES</t>
  </si>
  <si>
    <t>0.2.01 TIEMPO EXTRAORDINARIO</t>
  </si>
  <si>
    <t>0.2.02 RECARGO DE FUNCIONES</t>
  </si>
  <si>
    <t>0.2.03 DISPONIBILIDAD LABORAL</t>
  </si>
  <si>
    <t>0.03 . INCENTIVOS SALARIALES</t>
  </si>
  <si>
    <t>0.03.01 RETRIBUCIONES POR AÑOS DE SERV</t>
  </si>
  <si>
    <t>0.03.02 RESTRICCION AL EJERCICIO LIBER</t>
  </si>
  <si>
    <t>0.03.03 DECIMO TERCER MES</t>
  </si>
  <si>
    <t>0.03.04 SALARIO ESCOLAR</t>
  </si>
  <si>
    <t>0.03.99 OTROS INCENTIVOS SALARIALES</t>
  </si>
  <si>
    <t>0.04 . CONTRIBUC. PATRONALES AL DESARROLLO Y LA SEGURIDAD SOCIAL</t>
  </si>
  <si>
    <t>0.04.01 CONTRIBUCION PATRONAL AL SEGUR</t>
  </si>
  <si>
    <t>0.04.05 CONTRIBUCION PATRONAL AL BANCO</t>
  </si>
  <si>
    <t>0.05 . CONTRIBUC. PATRONALES A FONDOS PENS. Y OTROS FONDOS DE CAP.</t>
  </si>
  <si>
    <t>0.05.02 APORTE PATRONAL AL REGIMEN OBL</t>
  </si>
  <si>
    <t>0.05.03 APORTE PATRONAL AL FONDO DE CA</t>
  </si>
  <si>
    <t>0.05.05 CONTRIBUCIÓN PATRONAL A FONDOS ADM. POR ENTES PRIVADOS</t>
  </si>
  <si>
    <t>SERVICIOS</t>
  </si>
  <si>
    <t>1.01 . ALQUILERES</t>
  </si>
  <si>
    <t>1.01.03 ALQUILER DE EQUIPO DE CÓMPUTO</t>
  </si>
  <si>
    <t>1.01.04 ALQUILER Y DERECHOS PARA TELECOMUNICACIONES</t>
  </si>
  <si>
    <t>1.02 . SERVICIOS BÁSICOS</t>
  </si>
  <si>
    <t>1.02.01 SERVICIOS DE AGUA Y ALCANTARILLADO</t>
  </si>
  <si>
    <t>1.02.02 SERVICIO DE ENERGÍA ELÉCTRICA</t>
  </si>
  <si>
    <t>1.02.03 SERVICIO DE CORREO</t>
  </si>
  <si>
    <t>1.02.04 SERVICIO DE TELECOMUNICACIONES</t>
  </si>
  <si>
    <t>1.03 . SERVICIOS COMERCIALES Y FINANCIEROS</t>
  </si>
  <si>
    <t>1.03.01 INFORMACIÓN</t>
  </si>
  <si>
    <t>1.03.03 IMPRESION, ENCUADERNACION Y OT</t>
  </si>
  <si>
    <t>1.03.04 TRANSPORTE DE BIENES</t>
  </si>
  <si>
    <t>1.03.06 COMISIONES Y GASTOS POR SERVICIOS FINANCIEROS Y COMERCIALES</t>
  </si>
  <si>
    <t>1.03.07 SERVICIOS DE TECNOLOGIAS DE INFORMACIÓN</t>
  </si>
  <si>
    <t>1.04 . SERVICIOS DE GESTIÓN Y APOYO</t>
  </si>
  <si>
    <t>1.04.02 SERVICIOS JURIDICOS</t>
  </si>
  <si>
    <t>1.04.04 SERVICIOS EN CIENCIAS ECONOMIC</t>
  </si>
  <si>
    <t>1.04.06 SERVICIOS GENERALES</t>
  </si>
  <si>
    <t>1.04.99 OTROS SERVICIOS DE GESTIÓN Y APOYO</t>
  </si>
  <si>
    <t>1.05 . GASTOS DE VIAJE Y DE TRANSPORTE</t>
  </si>
  <si>
    <t>1.05.01 TRANSPORTE DENTRO DEL PAIS</t>
  </si>
  <si>
    <t>1.05.02 VIATICOS DENTRO DEL PAIS</t>
  </si>
  <si>
    <t>1.05.04 VIÁTICOS EN EL EXTERIOR</t>
  </si>
  <si>
    <t>1.06 . SEGUROS, REASEGUROS Y OTRAS OBLIGACIONES</t>
  </si>
  <si>
    <t>1.06.01 SEGUROS</t>
  </si>
  <si>
    <t>1.07 . CAPACITACIÓN Y PROTOCOLO</t>
  </si>
  <si>
    <t>1.07.01 ACTIVIDADES DE CAPACITACION</t>
  </si>
  <si>
    <t>1.07.02 ACTIVIDADES PROTOCOLARIAS Y SOCIALES</t>
  </si>
  <si>
    <t>1.07.03 GASTOS DE REPRESENTACION INSTITUCIONAL</t>
  </si>
  <si>
    <t>1.08 . MANTENIMIENTO Y REPARACIÓN</t>
  </si>
  <si>
    <t>1.08.01 MANTENIMIENTO DE EDIFICIOS Y LOCALES</t>
  </si>
  <si>
    <t>1.08.05 MANT. Y REPARACIÓN DE EQUIPO DE TRANSPORTE</t>
  </si>
  <si>
    <t>1.08.07 MANT Y REP.EQ.MOB.OFICINA</t>
  </si>
  <si>
    <t>1.08.08 MANT Y REPARAC. EQUIPO DE COMPUTO Y SISTEMAS DE INFORMACION</t>
  </si>
  <si>
    <t>1.08.99 MANT. Y REPARACIÓN DE OTROS EQUIPOS</t>
  </si>
  <si>
    <t>1.09 . IMPUESTOS</t>
  </si>
  <si>
    <t>1.09.99 OTROS IMPUESTOS</t>
  </si>
  <si>
    <t>1.99 . SERVICIOS DIVERSOS</t>
  </si>
  <si>
    <t>1.99.05 DEDUCIBLES</t>
  </si>
  <si>
    <t>2. MATERIALES Y SUMINISTROS</t>
  </si>
  <si>
    <t>2.01 . PRODUCTOS QUÍMICOS Y CONEXOS</t>
  </si>
  <si>
    <t>2.01.01 COMBUSTIBLES Y LUBRICANTES</t>
  </si>
  <si>
    <t>2.01.02 PRODUCTOS FARMACÉUTICOS Y MEDICINALES</t>
  </si>
  <si>
    <t>2.01.04 TINTAS, PINTURAS Y DILUYENTES</t>
  </si>
  <si>
    <t>2.01.99 OTROS PRODUCTOS QUÍMICOS Y CONEXOS</t>
  </si>
  <si>
    <t>2.02 . ALIMENTOS Y PRODUCTOS AGROPECUARIOS</t>
  </si>
  <si>
    <t>2.02.03 ALIMENTOS Y BEBIDAS</t>
  </si>
  <si>
    <t>2.03 . MATERIALES Y PRODUCTOS DE USO EN LA CONSTRUCCIÓN Y MANTENIMI</t>
  </si>
  <si>
    <t>2.03.01 MATERIALES Y PRODUCTOS METÁLICOS</t>
  </si>
  <si>
    <t>2.03.02 MATERIALES Y PRODUCTOS MINERALES Y ASFÁLTICOS</t>
  </si>
  <si>
    <t>2.03.03 MADERA Y SUS DERIVADOS</t>
  </si>
  <si>
    <t>2.03.04 MATERIALES Y PRODUCTOS ELECTRI</t>
  </si>
  <si>
    <t>2.03.05 MATERIALES Y PRODUCTOS DE VIDRIO</t>
  </si>
  <si>
    <t>2.03.06 MATERIALES Y PRODUCTOS DE PLÁSTICO</t>
  </si>
  <si>
    <t>2.03.99 OTROS MATERIALES Y PRODUCTOS DE USO EN LA CONSTRUCCION Y MANTENIMIENTO</t>
  </si>
  <si>
    <t>2.04 . HERRAMIENTAS, REPUESTOS Y ACCESORIOS</t>
  </si>
  <si>
    <t>2.04.01 HERRAMIENTAS E INSTRUMENTOS</t>
  </si>
  <si>
    <t>2.04.02 REPUESTOS Y ACCESORIOS</t>
  </si>
  <si>
    <t>2.99 . UTILES, MATERIALES Y SUMINISTROS DIVERSOS</t>
  </si>
  <si>
    <t>2.99.01 UTILES Y MAT.OFICINA Y COMPUTO</t>
  </si>
  <si>
    <t>2.99.03 PRODUCTOS PAPEL, CARTON, IMPR.</t>
  </si>
  <si>
    <t>2.99.04 TEXTILES Y VESTUARIO</t>
  </si>
  <si>
    <t>2.99.05 UTILES Y MATERIALES LIMPIEZA</t>
  </si>
  <si>
    <t>2.99.06 ÚTILES Y MATERIALES DE RESGUARDO Y SEGURIDAD</t>
  </si>
  <si>
    <t>2.99.07 ÚTILES Y MATERIALES DE COCINA Y COMEDOR</t>
  </si>
  <si>
    <t>2.99.99 OTROS ÚTILES, MATERIALES Y SUMINISTROS DIVERSOS</t>
  </si>
  <si>
    <t>5. BIENES DURADEROS</t>
  </si>
  <si>
    <t>5.01 . MAQUINARIA, EQUIPO Y MOBILIARIO</t>
  </si>
  <si>
    <t>5.01.01 MAQUINARIA Y EQUIPO PARA LA PRODUCCION</t>
  </si>
  <si>
    <t>5.01.02 EQUIPO DE TRANSPORTE</t>
  </si>
  <si>
    <t>5.01.03 EQUIPO DE COMUNICACION</t>
  </si>
  <si>
    <t>5.01.04 EQUIPO Y MOBILIARIO DE OFICINA</t>
  </si>
  <si>
    <t>5.01.05 EQUIPO DE COMPUTO</t>
  </si>
  <si>
    <t>5.01.99 MAQUINARIA, EQUIPO Y MOBILIARIO DIVERSO</t>
  </si>
  <si>
    <t>5.02 . CONSTRUCCIONES ADICIONES Y MEJORAS</t>
  </si>
  <si>
    <t>5.02.01 EDIFICIOS</t>
  </si>
  <si>
    <t>5.02.07 INSTALACIONES</t>
  </si>
  <si>
    <t>5.99 . BIENES DURADEROS DIVERSOS</t>
  </si>
  <si>
    <t>5.99.03 BIENES INTANGIBLES</t>
  </si>
  <si>
    <t>6. TRANSFERENCIAS CORRIENTES</t>
  </si>
  <si>
    <t>6.03 . PRESTACIONES</t>
  </si>
  <si>
    <t>6.03.01 PRESTACIONES LEGALES</t>
  </si>
  <si>
    <t>6.06 . OTRAS TRANSF. CORRIENTES AL SECTOR PRIVADO</t>
  </si>
  <si>
    <t>6.6.01 INDEMNIZACIONES</t>
  </si>
  <si>
    <t>Total origen: 01.   Gestion Administrativa</t>
  </si>
  <si>
    <t>PROGRAMA DE GESTION DEL RIESGO</t>
  </si>
  <si>
    <t>0.01 . REMUNERACIONES BÁSICAS</t>
  </si>
  <si>
    <t>1. SERVICIOS</t>
  </si>
  <si>
    <t>1.01.01 ALQUILER DE EDIFICIOS, LOCALES Y TERRENOS</t>
  </si>
  <si>
    <t>1.04.03 SERVICIOS DE INGENIERIA Y ARQUITECTURA</t>
  </si>
  <si>
    <t>1.04.05 SERVICIOS INFORMATICOS</t>
  </si>
  <si>
    <t>1.05.03 TRANSPORTE EN EL EXTERIOR</t>
  </si>
  <si>
    <t>1.6.01 SEGUROS</t>
  </si>
  <si>
    <t>1.08.04 MANT. Y REPARACIÓN DE MAQUINARIA Y EQUIPO DE PRODUCCIÓN</t>
  </si>
  <si>
    <t>1.08.06 MANT. Y REPARACIÓN DE EQUIPO DE COMUNICACIÓN</t>
  </si>
  <si>
    <t>2.1.01 COMBUSTIBLES Y LUBRICANTES</t>
  </si>
  <si>
    <t>2.1.04 TINTAS, PINTURAS Y DILUYENTES</t>
  </si>
  <si>
    <t>2.1.99 OTROS PRODUCTOS QUÍMICOS Y CONEXOS</t>
  </si>
  <si>
    <t>6.07 . TRANSFERENCIAS CORRIENTES A PERSONAS</t>
  </si>
  <si>
    <t>6.07.01 TRANSFERENCIAS CORRIENTES A ORGANISMOS INTERNACIONALES</t>
  </si>
  <si>
    <t>7. TRANSFERENCIAS DE CAPITAL</t>
  </si>
  <si>
    <t>7.01 . TRANSFERENCIAS DE CAPITAL AL SECTOR PUBLICO</t>
  </si>
  <si>
    <t>7.01.01 TRANSFERENCIAS DE CAPITAL AL GOBIERNO CENTRAL</t>
  </si>
  <si>
    <t>Total Prevencion De Riesgos</t>
  </si>
  <si>
    <t>Ordinario</t>
  </si>
  <si>
    <t>Definitivo</t>
  </si>
  <si>
    <t>TRIMESTRE 2</t>
  </si>
  <si>
    <t>TRIMESTRE 3</t>
  </si>
  <si>
    <t xml:space="preserve">1 Gastos Corrientes </t>
  </si>
  <si>
    <t xml:space="preserve">1.1.GASTOS DE CONSUMO </t>
  </si>
  <si>
    <t>1.1.1 REMUNERACIONES</t>
  </si>
  <si>
    <t>REMUNERACIONES</t>
  </si>
  <si>
    <t>1.1.1.1 SUELDOS Y SALARIOS</t>
  </si>
  <si>
    <t>1.1.1.1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</si>
  <si>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</si>
  <si>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</si>
  <si>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</si>
  <si>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</si>
  <si>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</si>
  <si>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</si>
  <si>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</si>
  <si>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</si>
  <si>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</si>
  <si>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</si>
  <si>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</si>
  <si>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</si>
  <si>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</si>
  <si>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</si>
  <si>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</si>
  <si>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</si>
  <si>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</si>
  <si>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</si>
  <si>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Remuneraciones diversas</t>
  </si>
  <si>
    <t>Gastos de representación personal</t>
  </si>
  <si>
    <t>Otras remuneraciones</t>
  </si>
  <si>
    <t xml:space="preserve">1.1.1.2 CONTRIBUCIONES SOCIALES </t>
  </si>
  <si>
    <t>Contribuc. patronales al desarrollo y la seguridad social</t>
  </si>
  <si>
    <t>1.1.1.2</t>
  </si>
  <si>
    <t>Contribución patronal al Seguro Social de la C.C.S.S.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</si>
  <si>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</si>
  <si>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</si>
  <si>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</si>
  <si>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</si>
  <si>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</si>
  <si>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</si>
  <si>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</si>
  <si>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</si>
  <si>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</si>
  <si>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</si>
  <si>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</si>
  <si>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</si>
  <si>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</si>
  <si>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1.1.2 ADQUISICIÓN DE BIENES Y SERVICIOS</t>
  </si>
  <si>
    <t>1.1.2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</si>
  <si>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</si>
  <si>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</si>
  <si>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</si>
  <si>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</si>
  <si>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</si>
  <si>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Otros alquileres</t>
  </si>
  <si>
    <t>Servicios básicos</t>
  </si>
  <si>
    <t>Servicios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</si>
  <si>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</si>
  <si>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</si>
  <si>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</si>
  <si>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</si>
  <si>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</si>
  <si>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</si>
  <si>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</si>
  <si>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</si>
  <si>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</si>
  <si>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</si>
  <si>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</si>
  <si>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</si>
  <si>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</si>
  <si>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en ciencias de la salud</t>
  </si>
  <si>
    <t>Servicios jurídicos</t>
  </si>
  <si>
    <t>Servicios de ingeniería y arquitectura</t>
  </si>
  <si>
    <t>Servicios en ciencias económicas y sociales</t>
  </si>
  <si>
    <t>Servicios informáticos</t>
  </si>
  <si>
    <t>Servicios generales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</si>
  <si>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</si>
  <si>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</si>
  <si>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</si>
  <si>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</si>
  <si>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</si>
  <si>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</si>
  <si>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</si>
  <si>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</si>
  <si>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Reaseguros</t>
  </si>
  <si>
    <t>Obligaciones por contratos de seguros</t>
  </si>
  <si>
    <t>Capacitación y protocolo</t>
  </si>
  <si>
    <t>Actividades de capacitación</t>
  </si>
  <si>
    <t>Actividades protocolarias y sociales</t>
  </si>
  <si>
    <t>Gastos de representación institucional</t>
  </si>
  <si>
    <t>Mantenimiento y reparación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</si>
  <si>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</si>
  <si>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</si>
  <si>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</si>
  <si>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</si>
  <si>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</si>
  <si>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</si>
  <si>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</si>
  <si>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</si>
  <si>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</si>
  <si>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Servicios diversos</t>
  </si>
  <si>
    <t>Servicios de regulación</t>
  </si>
  <si>
    <t>Intereses moratorios y multas</t>
  </si>
  <si>
    <t>Gastos de oficinas en el exterior</t>
  </si>
  <si>
    <t>Gastos de misiones especiales en el exterior</t>
  </si>
  <si>
    <t>Deducibles</t>
  </si>
  <si>
    <t>Otros servicios no especificados</t>
  </si>
  <si>
    <t>Impuestos</t>
  </si>
  <si>
    <t>Impuestos sobre ingresos y utilidades</t>
  </si>
  <si>
    <t>Impuestos sobre bienes inmuebles</t>
  </si>
  <si>
    <t>Impuestos de patentes</t>
  </si>
  <si>
    <t>Otros impuestos</t>
  </si>
  <si>
    <t>MATERIALES Y SUMINISTROS</t>
  </si>
  <si>
    <t>Productos químicos y conexos</t>
  </si>
  <si>
    <t>Combustibles y lubricantes</t>
  </si>
  <si>
    <t>Productos farmaceúticos y medicinales</t>
  </si>
  <si>
    <t>Productos veterinarios</t>
  </si>
  <si>
    <t>Tintas, pinturas y diluyentes</t>
  </si>
  <si>
    <t>Otros productos químicos y conexos</t>
  </si>
  <si>
    <t>Alimentos y productos agropecuarios</t>
  </si>
  <si>
    <t>Productos pecuarios y otras especies</t>
  </si>
  <si>
    <t>Productos agroferastales</t>
  </si>
  <si>
    <t>Alimentos y bebidas</t>
  </si>
  <si>
    <t>Alimentos para animales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</si>
  <si>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</si>
  <si>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</si>
  <si>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</si>
  <si>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</si>
  <si>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</si>
  <si>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</si>
  <si>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</si>
  <si>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</t>
  </si>
  <si>
    <t>Herramientas, repuestos y accesorios</t>
  </si>
  <si>
    <t>Herramientas e instrumentos</t>
  </si>
  <si>
    <t>Repuestos y accesorios</t>
  </si>
  <si>
    <t>Bienes para la producción y comercialización</t>
  </si>
  <si>
    <t>Materia prima</t>
  </si>
  <si>
    <t>Productos terminados</t>
  </si>
  <si>
    <t>Energía eléctrica</t>
  </si>
  <si>
    <t>Otros bienes para la producción y comercialización</t>
  </si>
  <si>
    <t>Utiles, materiales y suministros diversos</t>
  </si>
  <si>
    <t>Utiles y materiales de oficina y cómputo</t>
  </si>
  <si>
    <t>Utiles y materiales médico, hospitalario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</si>
  <si>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</si>
  <si>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</si>
  <si>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</si>
  <si>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</si>
  <si>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</si>
  <si>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 diversos</t>
  </si>
  <si>
    <t>INTERESES Y COMISIONES</t>
  </si>
  <si>
    <t xml:space="preserve">COMISIONES Y OTROS GASTOS 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</si>
  <si>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</si>
  <si>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</si>
  <si>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</si>
  <si>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</si>
  <si>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CUENTAS ESPECIALES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</si>
  <si>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</si>
  <si>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</si>
  <si>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</si>
  <si>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</si>
  <si>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</si>
  <si>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</si>
  <si>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</si>
  <si>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</si>
  <si>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>Intereses sobre títulos valores internos de corto plazo</t>
  </si>
  <si>
    <t>Intereses sobre títulos valores internos de largo plazo</t>
  </si>
  <si>
    <t xml:space="preserve">INTERESES SOBRE PRÉSTAMOS 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</si>
  <si>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</si>
  <si>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</si>
  <si>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</si>
  <si>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</si>
  <si>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</si>
  <si>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</si>
  <si>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</si>
  <si>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OTRAS OBLIGACIONES</t>
  </si>
  <si>
    <t>Intereses sobre depósitos bancarios a la vista</t>
  </si>
  <si>
    <t>Intereses sobre obligaciones</t>
  </si>
  <si>
    <t>Diferencias por tipo de cambio</t>
  </si>
  <si>
    <t>1.2.2 EXTERNOS</t>
  </si>
  <si>
    <t>1.2.2</t>
  </si>
  <si>
    <t>Intereses sobre títulos valores del sector externo de corto plazo</t>
  </si>
  <si>
    <t>Intereses sobre títulos valores del sector externo de largo plazo</t>
  </si>
  <si>
    <t>Intereses sobre préstamos del Sector Externo</t>
  </si>
  <si>
    <t xml:space="preserve">INTERESES SOBRE OTRAS OBLIGACIONES </t>
  </si>
  <si>
    <t>3.03.01</t>
  </si>
  <si>
    <t xml:space="preserve">Intereses sobre depósitos bancarios a la vista </t>
  </si>
  <si>
    <t>3.03.99</t>
  </si>
  <si>
    <t>Intereses sobre otras obligaciones</t>
  </si>
  <si>
    <t xml:space="preserve">1.3 TRANSFERENCIAS CORRIENTES </t>
  </si>
  <si>
    <t>1.3.1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</si>
  <si>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</si>
  <si>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</si>
  <si>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</si>
  <si>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</si>
  <si>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</si>
  <si>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</si>
  <si>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</si>
  <si>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</si>
  <si>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</si>
  <si>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PRESTACIONES</t>
  </si>
  <si>
    <t>Cuota patronal pensiones y jub., contributivas y no contributivas</t>
  </si>
  <si>
    <t>1.09.</t>
  </si>
  <si>
    <t xml:space="preserve">IMPUESTOS </t>
  </si>
  <si>
    <t>1.09.01</t>
  </si>
  <si>
    <t>Impuestos sobre ingreos y utilidades</t>
  </si>
  <si>
    <t>1.09.02</t>
  </si>
  <si>
    <t>1.09.03</t>
  </si>
  <si>
    <t xml:space="preserve">Impuestos de patentes </t>
  </si>
  <si>
    <t>1.09.99</t>
  </si>
  <si>
    <t xml:space="preserve">1.3.2 TRANSFERENCIAS CORRIESNTES AL SECTOR PRIVADO </t>
  </si>
  <si>
    <t>TRANSFERENCIAS CORRIENTES A PERSONAS</t>
  </si>
  <si>
    <t>1.3.2</t>
  </si>
  <si>
    <t>Becas a funcionarios</t>
  </si>
  <si>
    <t>Becas a terceras personas</t>
  </si>
  <si>
    <t>Ayudas a funcionarios</t>
  </si>
  <si>
    <t>Otras transferencias a personas</t>
  </si>
  <si>
    <t>Prestaciones legales</t>
  </si>
  <si>
    <t>Pensiones y jubilaciones contributivas</t>
  </si>
  <si>
    <t>Pensiones no contributivas</t>
  </si>
  <si>
    <t>Décimo tercer mes de pensiones y jubilaciones</t>
  </si>
  <si>
    <t>Otras prestaciones</t>
  </si>
  <si>
    <t>TRANSF. CORRIENTES A ENT. PRIV. SIN DE LUCRO</t>
  </si>
  <si>
    <t>Transferencias corrientes a asociaciones</t>
  </si>
  <si>
    <t>Transferencias corrientes a fundaciones</t>
  </si>
  <si>
    <t>Transferencias corrientes a cooperativas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</si>
  <si>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</si>
  <si>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</si>
  <si>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</si>
  <si>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</si>
  <si>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Indemnizaciones</t>
  </si>
  <si>
    <t>Reintegros o devoluciones</t>
  </si>
  <si>
    <t>1.3.3 TRANSFERENCIAS CORRIENTES AL SECTOR EXTERNO</t>
  </si>
  <si>
    <t>1.3.3</t>
  </si>
  <si>
    <t>6.07.01</t>
  </si>
  <si>
    <t>Transferencias corrientes a organismos internacionales</t>
  </si>
  <si>
    <t>6.07.02</t>
  </si>
  <si>
    <t>2 GASTOS DE CAPITAL</t>
  </si>
  <si>
    <t>BIENES DURADEROS</t>
  </si>
  <si>
    <t xml:space="preserve">2.1 FORMACIÓN DE CAPITAL </t>
  </si>
  <si>
    <t>CONSTRUCCIONES ADICIONES Y MEJORAS</t>
  </si>
  <si>
    <t>2.1.1</t>
  </si>
  <si>
    <t>Edificios</t>
  </si>
  <si>
    <t>2.1.2</t>
  </si>
  <si>
    <t>Vías de comunicación terrestre</t>
  </si>
  <si>
    <t>Vías férreas</t>
  </si>
  <si>
    <t>Obras marítimas y fluviales</t>
  </si>
  <si>
    <t>Aeropuertos</t>
  </si>
  <si>
    <t>2.1.3</t>
  </si>
  <si>
    <t>Obras urbanísticas</t>
  </si>
  <si>
    <t>2.1.4</t>
  </si>
  <si>
    <t>Instalaciones</t>
  </si>
  <si>
    <t>2.1.5</t>
  </si>
  <si>
    <t>Otras construcciones, adiciones y mejoras</t>
  </si>
  <si>
    <t>2.2 ADQUISICION DE ACTIVOS</t>
  </si>
  <si>
    <t>2.2.1 MAQUINARIA Y EQUIPO</t>
  </si>
  <si>
    <t>2.2.1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</si>
  <si>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</si>
  <si>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</si>
  <si>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</si>
  <si>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</si>
  <si>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</si>
  <si>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</si>
  <si>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</si>
  <si>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Maquinaria y equipo diverso</t>
  </si>
  <si>
    <t>BIENES DURADEROS DIVERSOS</t>
  </si>
  <si>
    <t>Semovientes</t>
  </si>
  <si>
    <t>BIENES PREEXISTENTES</t>
  </si>
  <si>
    <t>2.2.2 TERRENOS</t>
  </si>
  <si>
    <t>Terrenos</t>
  </si>
  <si>
    <t>2.2.3 EDIFICIOS</t>
  </si>
  <si>
    <t>2.2.3</t>
  </si>
  <si>
    <t>Edificios preexistentes</t>
  </si>
  <si>
    <t>Otras obras preexistentes</t>
  </si>
  <si>
    <t xml:space="preserve">BIENES DURADEROS DIVERSOS </t>
  </si>
  <si>
    <t>2.2.4 INTANGIBLES</t>
  </si>
  <si>
    <t>Bienes intangibles</t>
  </si>
  <si>
    <t>2.2.5 ACTIVOS DE VALOR</t>
  </si>
  <si>
    <t>2.2.5</t>
  </si>
  <si>
    <t>Piezas y obras de colección</t>
  </si>
  <si>
    <t>Otros bienes duraderos</t>
  </si>
  <si>
    <t>2.3 TRANSFERENCIAS DE CAPITAL</t>
  </si>
  <si>
    <t>2.3.1 TRANSFERENCIAS DE CAPITAL AL SECTOR PUBLICO</t>
  </si>
  <si>
    <t>7.01.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</si>
  <si>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</si>
  <si>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</si>
  <si>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</si>
  <si>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</si>
  <si>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</si>
  <si>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</si>
  <si>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</si>
  <si>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</si>
  <si>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</si>
  <si>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</si>
  <si>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</si>
  <si>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</si>
  <si>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</si>
  <si>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</si>
  <si>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</si>
  <si>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</si>
  <si>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</si>
  <si>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TRANSFERENCIAS DE CAPITAL A PERSONAS</t>
  </si>
  <si>
    <t>2.3.2</t>
  </si>
  <si>
    <t>7.02.01</t>
  </si>
  <si>
    <t>Transferencias de capital a personas</t>
  </si>
  <si>
    <t>7.03.</t>
  </si>
  <si>
    <t>TRANSFERENCIAS DE CAPITAL A ENTIDADES PRIVADAS SIN FINES DE LUCRO</t>
  </si>
  <si>
    <t>7.03.01</t>
  </si>
  <si>
    <t>Transferencias de capital a asociaciones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</si>
  <si>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</si>
  <si>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</si>
  <si>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</si>
  <si>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</si>
  <si>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</si>
  <si>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</si>
  <si>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</si>
  <si>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TRANSFERENCIAS DE CAPITAL A EMPRESAS PRIVADAS</t>
  </si>
  <si>
    <t>Transferencias de capital a empresas privadas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</si>
  <si>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</si>
  <si>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</si>
  <si>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</si>
  <si>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</si>
  <si>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</si>
  <si>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</si>
  <si>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</si>
  <si>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</si>
  <si>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</si>
  <si>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ACTIVOS FINANCIEROS</t>
  </si>
  <si>
    <t>3.1 CONCESIONES DE PRESTAMOS</t>
  </si>
  <si>
    <t>4.01.</t>
  </si>
  <si>
    <t xml:space="preserve">PRÉSTAMOS 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</si>
  <si>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</si>
  <si>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</si>
  <si>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</si>
  <si>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</si>
  <si>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</si>
  <si>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</si>
  <si>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</si>
  <si>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</si>
  <si>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3.2 ADQUISICION DE VALORES</t>
  </si>
  <si>
    <t>4.02.</t>
  </si>
  <si>
    <t>ADQUISICIÓN DE VALORES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</si>
  <si>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</si>
  <si>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</si>
  <si>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</si>
  <si>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</si>
  <si>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</si>
  <si>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</si>
  <si>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</si>
  <si>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</si>
  <si>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</si>
  <si>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</si>
  <si>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</si>
  <si>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</si>
  <si>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</si>
  <si>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</si>
  <si>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</si>
  <si>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</si>
  <si>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</si>
  <si>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</si>
  <si>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</si>
  <si>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</si>
  <si>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</si>
  <si>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</si>
  <si>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</si>
  <si>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</si>
  <si>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</si>
  <si>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</si>
  <si>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</si>
  <si>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</si>
  <si>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</si>
  <si>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</si>
  <si>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</si>
  <si>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</si>
  <si>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</si>
  <si>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</si>
  <si>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</si>
  <si>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</si>
  <si>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</si>
  <si>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</si>
  <si>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</si>
  <si>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</si>
  <si>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</si>
  <si>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</si>
  <si>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</si>
  <si>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</si>
  <si>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Aportes de Capital a Empresas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</si>
  <si>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</si>
  <si>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</si>
  <si>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</si>
  <si>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</si>
  <si>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</si>
  <si>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Sumas libres sin asignación presupuestaria</t>
  </si>
  <si>
    <t>9.02.02</t>
  </si>
  <si>
    <t xml:space="preserve">Sumas con destino específico sin asignación presupuestaria </t>
  </si>
  <si>
    <t>TOTAL</t>
  </si>
  <si>
    <t>DETALLE SEGÚN CLASIFICACION ECONOMICA</t>
  </si>
  <si>
    <t>Trimestre Anterior</t>
  </si>
  <si>
    <t>Ejecución del Presupuesto de Egresos</t>
  </si>
  <si>
    <t>Detalle de cuentas a nivel Partida</t>
  </si>
  <si>
    <t>Junta Directiva-Presidencia</t>
  </si>
  <si>
    <t>Detalle por Dirección</t>
  </si>
  <si>
    <t>Estado de Situación Financiera</t>
  </si>
  <si>
    <t>(Miles de colones)</t>
  </si>
  <si>
    <t>Variación Absoluta</t>
  </si>
  <si>
    <t>Variación %</t>
  </si>
  <si>
    <t>Activo Corriente</t>
  </si>
  <si>
    <t>Efectivo y equivalentes de efectivo</t>
  </si>
  <si>
    <t>Inversiones a corto plazo</t>
  </si>
  <si>
    <t>Cuentas por cobrar a corto plazo</t>
  </si>
  <si>
    <t>Inventarios</t>
  </si>
  <si>
    <t>Otros activos a Corto Plazo</t>
  </si>
  <si>
    <t>Total activo corriente</t>
  </si>
  <si>
    <t>Activo no corriente</t>
  </si>
  <si>
    <t>Inversiones a largo plazo</t>
  </si>
  <si>
    <t>Cuentas a cobrar a largo plazo</t>
  </si>
  <si>
    <t>Bienes no concesionados</t>
  </si>
  <si>
    <t>Total activo no corriente</t>
  </si>
  <si>
    <t>TOTAL ACTIVOS</t>
  </si>
  <si>
    <t>ACTIVOS</t>
  </si>
  <si>
    <t>PASIVOS</t>
  </si>
  <si>
    <t>Pasivo Corriente</t>
  </si>
  <si>
    <t>Deudas a corto plazo</t>
  </si>
  <si>
    <t>Fondos de terceros y en garantía</t>
  </si>
  <si>
    <t>Total Pasivos corrientes</t>
  </si>
  <si>
    <t>TOTAL PASIVOS</t>
  </si>
  <si>
    <t>PATRIMONIO</t>
  </si>
  <si>
    <t>Patrimonio Público</t>
  </si>
  <si>
    <t>Capital</t>
  </si>
  <si>
    <t>Resultados acumulados</t>
  </si>
  <si>
    <t>TOTAL PATRIMONIO</t>
  </si>
  <si>
    <t>TOTAL PASIVO MAS PATRIMONIO</t>
  </si>
  <si>
    <t>INGRESOS</t>
  </si>
  <si>
    <t>Rentas de inversiones y de colocación de efectivo</t>
  </si>
  <si>
    <t>Transferencias corrientes</t>
  </si>
  <si>
    <t>TOTAL INGRESOS</t>
  </si>
  <si>
    <t>GASTOS</t>
  </si>
  <si>
    <t>Gastos de Personal</t>
  </si>
  <si>
    <t>Servicios</t>
  </si>
  <si>
    <t>Materiales y suministros consumidos</t>
  </si>
  <si>
    <t>Otros gastos financieros</t>
  </si>
  <si>
    <t>Resultados negativos por tenencia y exposición a la inflación</t>
  </si>
  <si>
    <t>Otros resultados negativos</t>
  </si>
  <si>
    <t>TOTAL DE GASTOS</t>
  </si>
  <si>
    <t>AHORRO y/o DESARROLLO DEL PERIODO</t>
  </si>
  <si>
    <t>Otros ingresos de la propiedad</t>
  </si>
  <si>
    <t>Estado de Rendimiento Financiero</t>
  </si>
  <si>
    <t xml:space="preserve">Composición del Portafolio </t>
  </si>
  <si>
    <t>Monto Invertido</t>
  </si>
  <si>
    <t>Porcentaje</t>
  </si>
  <si>
    <t>Largo Plazo</t>
  </si>
  <si>
    <t>Corto Plazo</t>
  </si>
  <si>
    <t>Transferencias corrientes al sector externo</t>
  </si>
  <si>
    <t>1.01.99 OTROS ALQUILERES</t>
  </si>
  <si>
    <t>1.99.02 INTERESES MORATORIOS Y MULTAS</t>
  </si>
  <si>
    <t>2.99.06 UTILES Y MATERIALES DE RESGUARDO Y SEGURIDAD</t>
  </si>
  <si>
    <t>1.01.02 ALQUILER DE MAQUINARIA, EQUIPO Y MOBILIARIO</t>
  </si>
  <si>
    <t>Transferencias capital</t>
  </si>
  <si>
    <t>Remuneracion Gestión Administrativa</t>
  </si>
  <si>
    <t>Remuneracion Gestión del Riesgo</t>
  </si>
  <si>
    <t>Remuneraciones Gestión Administrativa</t>
  </si>
  <si>
    <t>Remuneraciones Gestión del Riesgo</t>
  </si>
  <si>
    <t>Remuneraciones PGA</t>
  </si>
  <si>
    <t>Remuneraciones PGR</t>
  </si>
  <si>
    <t>9. Cuentas especiales</t>
  </si>
  <si>
    <t>9. CUENTAS ESPECALES</t>
  </si>
  <si>
    <t>9.02 SUMAS SIN ASIGNACION PRESUPUESTARIA</t>
  </si>
  <si>
    <t>9.02.02 Sumas con destino especifico sin asignación presupuestaria</t>
  </si>
  <si>
    <t>7.01.03 TRANSFERENCIAS DE CAPITAL A INSTITUCIONES DESENTRALIZADAS NO EMPRESARIALES</t>
  </si>
  <si>
    <t>9. Cuentas Especiales</t>
  </si>
  <si>
    <t>Cargos por provisiones y reservas tecnicas</t>
  </si>
  <si>
    <t>2.99.02 UTILIES Y MATERIALES MEDICOS Y HOSPITALARIOS</t>
  </si>
  <si>
    <t>5.01.06 EQUIPO SANITARIO, DE LABORATORIO E INVESTIGACION</t>
  </si>
  <si>
    <t>5.01.07 EQUIPO Y MOBILIARIO EDUCACIONAL</t>
  </si>
  <si>
    <t>5.02.99 OTRAS CONSUTRUCCIONES ADICIONES Y MEJORAS</t>
  </si>
  <si>
    <t>MILES DE COLONES</t>
  </si>
  <si>
    <t>Otros ingresos</t>
  </si>
  <si>
    <t>Colones</t>
  </si>
  <si>
    <t>Dolares</t>
  </si>
  <si>
    <t>TRIMESTRE 1</t>
  </si>
  <si>
    <t>5.02.99 OTRAS CONSTRUCCIONES ADICIONES Y MEJORAS</t>
  </si>
  <si>
    <t>0.05.01 Contribución patronal al Seguro de Pensiones de la Caja Costarricense del Seguro Social</t>
  </si>
  <si>
    <t>6.01. TRANSFERENCIAS CORRIENTES A INS. DESCENTRALIZADAS NO EMP</t>
  </si>
  <si>
    <t>06.01.03 TRANSFERENCIAS CORREIENTES A INSTITUCIONES DESENTRALIZADAS NO EMPRESARIALES</t>
  </si>
  <si>
    <t>6.03.99 OTRAS PRESTACIONES</t>
  </si>
  <si>
    <t>0.05.01 CONTRIBUCION PATRONAL AL SEGURO DE PENSIONES DE LA CAJA</t>
  </si>
  <si>
    <t>6.01 TRANSFERENCIAS CORRIENTES A INS. DESCENTRALIZADAS NO EMP</t>
  </si>
  <si>
    <t>Comparativo de Egresos 2019-2021</t>
  </si>
  <si>
    <t>Otros pasivos a corto plazo</t>
  </si>
  <si>
    <t>Multas y sanciones</t>
  </si>
  <si>
    <t>6.06.02 REINTEGROS</t>
  </si>
  <si>
    <t xml:space="preserve">1.3.1 TRANSFERENCIAS CORRIENTES AL SECTOR PÚBLICO </t>
  </si>
  <si>
    <t>Compromisos devengados</t>
  </si>
  <si>
    <t>Devengado</t>
  </si>
  <si>
    <t>06.01.03 TRANSFERENCIAS CORRIENTES A INSTITUCIONES DESENTRALIZADAS NO EMPRESARIALES</t>
  </si>
  <si>
    <t>Compromiso devengado</t>
  </si>
  <si>
    <t>Programa de Gestión Administrativa</t>
  </si>
  <si>
    <t>Programa de Gestión Riesgo</t>
  </si>
  <si>
    <t>Total</t>
  </si>
  <si>
    <t>Consumo de bienes distintos de invent</t>
  </si>
  <si>
    <t>Deterioro de cuentas por cobrar</t>
  </si>
  <si>
    <t>I TRIMESTRE 2022</t>
  </si>
  <si>
    <t>Al 31 de marzo  del 2022</t>
  </si>
  <si>
    <t>Al 31 de marzo 2022</t>
  </si>
  <si>
    <t>Comportamiento a marzo 2022</t>
  </si>
  <si>
    <t>I Trimestre 2022</t>
  </si>
  <si>
    <t>1.09.02 Impuestos sobre bienes inmuebles</t>
  </si>
  <si>
    <t>2.03.04 MATERIALES Y PRODUCTOS ELECTRICOS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</si>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</sst>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##,###,##0.00"/>
    <numFmt numFmtId="165" formatCode="000"/>
    <numFmt numFmtId="166" formatCode="0\-00"/>
    <numFmt numFmtId="167" formatCode="0\-00\-00"/>
    <numFmt numFmtId="168" formatCode="\¢###,##0,"/>
    <numFmt numFmtId="169" formatCode="&quot;₡&quot;#,##0.00"/>
    <numFmt numFmtId="170" formatCode="#,###,,"/>
    <numFmt numFmtId="171" formatCode="#,##0.00000000"/>
    <numFmt numFmtId="172" formatCode="#,##0.0000000000"/>
    <numFmt numFmtId="173" formatCode="#,###,"/>
    <numFmt numFmtId="174" formatCode="[$$-2C0A]\ #,##0"/>
    <numFmt numFmtId="175" formatCode="#,###.00,,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b/>
      <u/>
      <sz val="8"/>
      <color indexed="64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9" fontId="5" fillId="0" borderId="9" xfId="0" applyNumberFormat="1" applyFont="1" applyBorder="1"/>
    <xf numFmtId="9" fontId="4" fillId="5" borderId="12" xfId="0" applyNumberFormat="1" applyFont="1" applyFill="1" applyBorder="1"/>
    <xf numFmtId="0" fontId="7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10" fillId="0" borderId="3" xfId="0" applyFont="1" applyBorder="1"/>
    <xf numFmtId="4" fontId="10" fillId="0" borderId="3" xfId="0" applyNumberFormat="1" applyFont="1" applyBorder="1"/>
    <xf numFmtId="0" fontId="9" fillId="5" borderId="4" xfId="0" applyFont="1" applyFill="1" applyBorder="1" applyAlignment="1">
      <alignment wrapText="1"/>
    </xf>
    <xf numFmtId="4" fontId="9" fillId="5" borderId="4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" fontId="12" fillId="0" borderId="0" xfId="0" applyNumberFormat="1" applyFont="1"/>
    <xf numFmtId="4" fontId="12" fillId="0" borderId="20" xfId="0" applyNumberFormat="1" applyFont="1" applyBorder="1"/>
    <xf numFmtId="9" fontId="12" fillId="0" borderId="0" xfId="0" applyNumberFormat="1" applyFont="1" applyAlignment="1">
      <alignment horizontal="center"/>
    </xf>
    <xf numFmtId="9" fontId="12" fillId="0" borderId="20" xfId="0" applyNumberFormat="1" applyFont="1" applyBorder="1" applyAlignment="1">
      <alignment horizontal="center"/>
    </xf>
    <xf numFmtId="0" fontId="13" fillId="0" borderId="0" xfId="0" applyFont="1"/>
    <xf numFmtId="4" fontId="11" fillId="0" borderId="21" xfId="0" applyNumberFormat="1" applyFont="1" applyBorder="1"/>
    <xf numFmtId="9" fontId="11" fillId="0" borderId="21" xfId="0" applyNumberFormat="1" applyFont="1" applyBorder="1" applyAlignment="1">
      <alignment horizontal="center"/>
    </xf>
    <xf numFmtId="4" fontId="11" fillId="0" borderId="23" xfId="0" applyNumberFormat="1" applyFont="1" applyBorder="1"/>
    <xf numFmtId="9" fontId="11" fillId="0" borderId="23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4" fontId="11" fillId="0" borderId="22" xfId="0" applyNumberFormat="1" applyFont="1" applyBorder="1"/>
    <xf numFmtId="9" fontId="11" fillId="0" borderId="22" xfId="0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20" xfId="0" applyNumberFormat="1" applyFont="1" applyBorder="1"/>
    <xf numFmtId="9" fontId="11" fillId="0" borderId="2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vertical="center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0" fontId="14" fillId="9" borderId="24" xfId="0" applyFont="1" applyFill="1" applyBorder="1" applyAlignment="1">
      <alignment horizontal="center" wrapText="1" readingOrder="1"/>
    </xf>
    <xf numFmtId="0" fontId="15" fillId="0" borderId="25" xfId="0" applyFont="1" applyBorder="1" applyAlignment="1">
      <alignment horizontal="left" wrapText="1" readingOrder="1"/>
    </xf>
    <xf numFmtId="10" fontId="15" fillId="0" borderId="25" xfId="0" applyNumberFormat="1" applyFont="1" applyBorder="1" applyAlignment="1">
      <alignment horizontal="center" wrapText="1" readingOrder="1"/>
    </xf>
    <xf numFmtId="0" fontId="15" fillId="0" borderId="0" xfId="0" applyFont="1" applyAlignment="1">
      <alignment horizontal="left" wrapText="1" readingOrder="1"/>
    </xf>
    <xf numFmtId="10" fontId="15" fillId="0" borderId="0" xfId="0" applyNumberFormat="1" applyFont="1" applyAlignment="1">
      <alignment horizontal="center" wrapText="1" readingOrder="1"/>
    </xf>
    <xf numFmtId="0" fontId="14" fillId="9" borderId="25" xfId="0" applyFont="1" applyFill="1" applyBorder="1" applyAlignment="1">
      <alignment horizontal="left" wrapText="1" readingOrder="1"/>
    </xf>
    <xf numFmtId="10" fontId="14" fillId="9" borderId="25" xfId="0" applyNumberFormat="1" applyFont="1" applyFill="1" applyBorder="1" applyAlignment="1">
      <alignment horizontal="center" wrapText="1" readingOrder="1"/>
    </xf>
    <xf numFmtId="170" fontId="15" fillId="0" borderId="25" xfId="0" applyNumberFormat="1" applyFont="1" applyBorder="1" applyAlignment="1">
      <alignment horizontal="right" wrapText="1" readingOrder="1"/>
    </xf>
    <xf numFmtId="170" fontId="15" fillId="0" borderId="0" xfId="0" applyNumberFormat="1" applyFont="1" applyAlignment="1">
      <alignment horizontal="right" wrapText="1" readingOrder="1"/>
    </xf>
    <xf numFmtId="170" fontId="14" fillId="9" borderId="25" xfId="0" applyNumberFormat="1" applyFont="1" applyFill="1" applyBorder="1" applyAlignment="1">
      <alignment horizontal="right" wrapText="1" readingOrder="1"/>
    </xf>
    <xf numFmtId="170" fontId="5" fillId="0" borderId="8" xfId="0" applyNumberFormat="1" applyFont="1" applyBorder="1"/>
    <xf numFmtId="170" fontId="5" fillId="0" borderId="0" xfId="0" applyNumberFormat="1" applyFont="1"/>
    <xf numFmtId="170" fontId="4" fillId="5" borderId="10" xfId="0" applyNumberFormat="1" applyFont="1" applyFill="1" applyBorder="1"/>
    <xf numFmtId="170" fontId="4" fillId="5" borderId="11" xfId="0" applyNumberFormat="1" applyFont="1" applyFill="1" applyBorder="1"/>
    <xf numFmtId="170" fontId="3" fillId="5" borderId="10" xfId="0" applyNumberFormat="1" applyFont="1" applyFill="1" applyBorder="1"/>
    <xf numFmtId="170" fontId="3" fillId="5" borderId="11" xfId="0" applyNumberFormat="1" applyFont="1" applyFill="1" applyBorder="1"/>
    <xf numFmtId="170" fontId="2" fillId="5" borderId="12" xfId="0" applyNumberFormat="1" applyFont="1" applyFill="1" applyBorder="1"/>
    <xf numFmtId="171" fontId="0" fillId="0" borderId="0" xfId="0" applyNumberFormat="1"/>
    <xf numFmtId="164" fontId="0" fillId="0" borderId="0" xfId="0" applyNumberFormat="1"/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/>
    </xf>
    <xf numFmtId="0" fontId="16" fillId="0" borderId="16" xfId="0" applyFont="1" applyBorder="1" applyAlignment="1">
      <alignment wrapText="1"/>
    </xf>
    <xf numFmtId="4" fontId="16" fillId="0" borderId="1" xfId="0" applyNumberFormat="1" applyFont="1" applyBorder="1"/>
    <xf numFmtId="4" fontId="16" fillId="0" borderId="17" xfId="0" applyNumberFormat="1" applyFont="1" applyBorder="1"/>
    <xf numFmtId="0" fontId="18" fillId="0" borderId="16" xfId="0" applyFont="1" applyBorder="1" applyAlignment="1">
      <alignment wrapText="1"/>
    </xf>
    <xf numFmtId="4" fontId="18" fillId="0" borderId="1" xfId="0" applyNumberFormat="1" applyFont="1" applyBorder="1"/>
    <xf numFmtId="4" fontId="18" fillId="0" borderId="17" xfId="0" applyNumberFormat="1" applyFont="1" applyBorder="1"/>
    <xf numFmtId="0" fontId="16" fillId="0" borderId="26" xfId="0" applyFont="1" applyBorder="1" applyAlignment="1">
      <alignment wrapText="1"/>
    </xf>
    <xf numFmtId="4" fontId="18" fillId="0" borderId="27" xfId="0" applyNumberFormat="1" applyFont="1" applyBorder="1"/>
    <xf numFmtId="4" fontId="16" fillId="0" borderId="27" xfId="0" applyNumberFormat="1" applyFont="1" applyBorder="1"/>
    <xf numFmtId="0" fontId="18" fillId="0" borderId="26" xfId="0" applyFont="1" applyBorder="1" applyAlignment="1">
      <alignment wrapText="1"/>
    </xf>
    <xf numFmtId="4" fontId="18" fillId="0" borderId="28" xfId="0" applyNumberFormat="1" applyFont="1" applyBorder="1"/>
    <xf numFmtId="0" fontId="16" fillId="5" borderId="18" xfId="0" applyFont="1" applyFill="1" applyBorder="1" applyAlignment="1">
      <alignment wrapText="1"/>
    </xf>
    <xf numFmtId="4" fontId="16" fillId="5" borderId="19" xfId="0" applyNumberFormat="1" applyFont="1" applyFill="1" applyBorder="1"/>
    <xf numFmtId="0" fontId="19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0" fillId="0" borderId="0" xfId="0" applyFont="1"/>
    <xf numFmtId="4" fontId="20" fillId="0" borderId="0" xfId="0" applyNumberFormat="1" applyFont="1"/>
    <xf numFmtId="170" fontId="20" fillId="0" borderId="0" xfId="0" applyNumberFormat="1" applyFont="1"/>
    <xf numFmtId="9" fontId="20" fillId="0" borderId="0" xfId="0" applyNumberFormat="1" applyFont="1"/>
    <xf numFmtId="0" fontId="6" fillId="10" borderId="0" xfId="0" applyFont="1" applyFill="1"/>
    <xf numFmtId="4" fontId="6" fillId="10" borderId="0" xfId="0" applyNumberFormat="1" applyFont="1" applyFill="1"/>
    <xf numFmtId="170" fontId="6" fillId="10" borderId="0" xfId="0" applyNumberFormat="1" applyFont="1" applyFill="1"/>
    <xf numFmtId="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3" fontId="0" fillId="0" borderId="0" xfId="0" applyNumberFormat="1"/>
    <xf numFmtId="173" fontId="0" fillId="0" borderId="0" xfId="0" applyNumberFormat="1"/>
    <xf numFmtId="3" fontId="15" fillId="0" borderId="25" xfId="0" applyNumberFormat="1" applyFont="1" applyBorder="1" applyAlignment="1">
      <alignment horizontal="right" wrapText="1" readingOrder="1"/>
    </xf>
    <xf numFmtId="3" fontId="15" fillId="0" borderId="0" xfId="0" applyNumberFormat="1" applyFont="1" applyAlignment="1">
      <alignment horizontal="right" wrapText="1" readingOrder="1"/>
    </xf>
    <xf numFmtId="174" fontId="15" fillId="0" borderId="0" xfId="0" applyNumberFormat="1" applyFont="1" applyAlignment="1">
      <alignment horizontal="right" wrapText="1" readingOrder="1"/>
    </xf>
    <xf numFmtId="3" fontId="14" fillId="9" borderId="25" xfId="0" applyNumberFormat="1" applyFont="1" applyFill="1" applyBorder="1" applyAlignment="1">
      <alignment horizontal="right" wrapText="1" readingOrder="1"/>
    </xf>
    <xf numFmtId="174" fontId="14" fillId="9" borderId="25" xfId="0" applyNumberFormat="1" applyFont="1" applyFill="1" applyBorder="1" applyAlignment="1">
      <alignment horizontal="right" wrapText="1" readingOrder="1"/>
    </xf>
    <xf numFmtId="3" fontId="20" fillId="0" borderId="0" xfId="0" applyNumberFormat="1" applyFont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22" fillId="0" borderId="2" xfId="0" applyFont="1" applyBorder="1" applyAlignment="1">
      <alignment wrapText="1"/>
    </xf>
    <xf numFmtId="170" fontId="22" fillId="0" borderId="5" xfId="0" applyNumberFormat="1" applyFont="1" applyBorder="1"/>
    <xf numFmtId="170" fontId="22" fillId="0" borderId="6" xfId="0" applyNumberFormat="1" applyFont="1" applyBorder="1"/>
    <xf numFmtId="170" fontId="21" fillId="0" borderId="7" xfId="0" applyNumberFormat="1" applyFont="1" applyBorder="1"/>
    <xf numFmtId="0" fontId="22" fillId="0" borderId="3" xfId="0" applyFont="1" applyBorder="1" applyAlignment="1">
      <alignment wrapText="1"/>
    </xf>
    <xf numFmtId="170" fontId="22" fillId="0" borderId="8" xfId="0" applyNumberFormat="1" applyFont="1" applyBorder="1"/>
    <xf numFmtId="170" fontId="22" fillId="0" borderId="0" xfId="0" applyNumberFormat="1" applyFont="1"/>
    <xf numFmtId="170" fontId="21" fillId="0" borderId="9" xfId="0" applyNumberFormat="1" applyFont="1" applyBorder="1"/>
    <xf numFmtId="43" fontId="0" fillId="0" borderId="0" xfId="1" applyFont="1"/>
    <xf numFmtId="4" fontId="24" fillId="0" borderId="1" xfId="0" applyNumberFormat="1" applyFont="1" applyBorder="1"/>
    <xf numFmtId="4" fontId="8" fillId="0" borderId="3" xfId="0" applyNumberFormat="1" applyFont="1" applyBorder="1"/>
    <xf numFmtId="170" fontId="20" fillId="10" borderId="0" xfId="0" applyNumberFormat="1" applyFont="1" applyFill="1"/>
    <xf numFmtId="0" fontId="21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6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4" fontId="27" fillId="0" borderId="0" xfId="0" applyNumberFormat="1" applyFont="1" applyAlignment="1">
      <alignment wrapText="1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7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36" fillId="7" borderId="0" xfId="0" applyFont="1" applyFill="1" applyAlignment="1">
      <alignment horizontal="left" wrapText="1"/>
    </xf>
    <xf numFmtId="0" fontId="33" fillId="0" borderId="0" xfId="0" applyFont="1" applyAlignment="1">
      <alignment vertical="center" wrapText="1"/>
    </xf>
    <xf numFmtId="0" fontId="25" fillId="7" borderId="0" xfId="0" applyFont="1" applyFill="1" applyAlignment="1">
      <alignment horizontal="left" wrapText="1"/>
    </xf>
    <xf numFmtId="0" fontId="33" fillId="7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5" fillId="6" borderId="0" xfId="0" applyFont="1" applyFill="1" applyAlignment="1">
      <alignment horizontal="left" wrapText="1"/>
    </xf>
    <xf numFmtId="0" fontId="25" fillId="8" borderId="0" xfId="0" applyFont="1" applyFill="1" applyAlignment="1">
      <alignment horizontal="left" wrapText="1"/>
    </xf>
    <xf numFmtId="0" fontId="31" fillId="0" borderId="0" xfId="0" applyFont="1" applyAlignment="1">
      <alignment horizontal="left"/>
    </xf>
    <xf numFmtId="0" fontId="25" fillId="7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8" borderId="0" xfId="0" applyFont="1" applyFill="1" applyAlignment="1">
      <alignment horizontal="left"/>
    </xf>
    <xf numFmtId="4" fontId="2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6" borderId="0" xfId="0" applyFont="1" applyFill="1" applyAlignment="1">
      <alignment wrapText="1"/>
    </xf>
    <xf numFmtId="4" fontId="25" fillId="6" borderId="0" xfId="0" applyNumberFormat="1" applyFont="1" applyFill="1" applyAlignment="1">
      <alignment horizontal="right" wrapText="1"/>
    </xf>
    <xf numFmtId="173" fontId="25" fillId="6" borderId="0" xfId="0" applyNumberFormat="1" applyFont="1" applyFill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173" fontId="31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wrapText="1"/>
    </xf>
    <xf numFmtId="165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horizontal="right" wrapText="1"/>
    </xf>
    <xf numFmtId="166" fontId="32" fillId="0" borderId="0" xfId="0" applyNumberFormat="1" applyFont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73" fontId="27" fillId="0" borderId="0" xfId="0" applyNumberFormat="1" applyFont="1" applyAlignment="1">
      <alignment wrapText="1"/>
    </xf>
    <xf numFmtId="173" fontId="34" fillId="0" borderId="0" xfId="0" applyNumberFormat="1" applyFont="1" applyAlignment="1">
      <alignment wrapText="1"/>
    </xf>
    <xf numFmtId="165" fontId="33" fillId="0" borderId="0" xfId="0" applyNumberFormat="1" applyFont="1" applyAlignment="1">
      <alignment horizontal="center" wrapText="1"/>
    </xf>
    <xf numFmtId="168" fontId="34" fillId="7" borderId="0" xfId="0" applyNumberFormat="1" applyFont="1" applyFill="1" applyAlignment="1">
      <alignment horizontal="center" wrapText="1"/>
    </xf>
    <xf numFmtId="4" fontId="26" fillId="7" borderId="0" xfId="0" applyNumberFormat="1" applyFont="1" applyFill="1" applyAlignment="1">
      <alignment horizontal="right" wrapText="1"/>
    </xf>
    <xf numFmtId="173" fontId="35" fillId="0" borderId="0" xfId="0" applyNumberFormat="1" applyFont="1" applyAlignment="1">
      <alignment wrapText="1"/>
    </xf>
    <xf numFmtId="168" fontId="37" fillId="7" borderId="0" xfId="0" applyNumberFormat="1" applyFont="1" applyFill="1" applyAlignment="1">
      <alignment horizontal="center" wrapText="1"/>
    </xf>
    <xf numFmtId="4" fontId="36" fillId="7" borderId="0" xfId="0" applyNumberFormat="1" applyFont="1" applyFill="1" applyAlignment="1">
      <alignment horizontal="right" wrapText="1"/>
    </xf>
    <xf numFmtId="173" fontId="26" fillId="0" borderId="0" xfId="0" applyNumberFormat="1" applyFont="1" applyAlignment="1">
      <alignment wrapText="1"/>
    </xf>
    <xf numFmtId="0" fontId="27" fillId="7" borderId="0" xfId="0" applyFont="1" applyFill="1" applyAlignment="1">
      <alignment wrapText="1"/>
    </xf>
    <xf numFmtId="4" fontId="27" fillId="7" borderId="0" xfId="0" applyNumberFormat="1" applyFont="1" applyFill="1" applyAlignment="1">
      <alignment horizontal="right" wrapText="1"/>
    </xf>
    <xf numFmtId="167" fontId="33" fillId="7" borderId="0" xfId="0" applyNumberFormat="1" applyFont="1" applyFill="1" applyAlignment="1">
      <alignment horizontal="center" wrapText="1"/>
    </xf>
    <xf numFmtId="173" fontId="27" fillId="7" borderId="0" xfId="0" applyNumberFormat="1" applyFont="1" applyFill="1" applyAlignment="1">
      <alignment wrapText="1"/>
    </xf>
    <xf numFmtId="0" fontId="32" fillId="0" borderId="0" xfId="0" applyFont="1" applyAlignment="1">
      <alignment horizontal="center" wrapText="1"/>
    </xf>
    <xf numFmtId="168" fontId="27" fillId="7" borderId="0" xfId="0" applyNumberFormat="1" applyFont="1" applyFill="1" applyAlignment="1">
      <alignment horizontal="center" wrapText="1"/>
    </xf>
    <xf numFmtId="4" fontId="25" fillId="7" borderId="0" xfId="0" applyNumberFormat="1" applyFont="1" applyFill="1" applyAlignment="1">
      <alignment horizontal="right" wrapText="1"/>
    </xf>
    <xf numFmtId="173" fontId="19" fillId="0" borderId="0" xfId="0" applyNumberFormat="1" applyFont="1" applyAlignment="1">
      <alignment wrapText="1"/>
    </xf>
    <xf numFmtId="169" fontId="27" fillId="0" borderId="0" xfId="0" applyNumberFormat="1" applyFont="1" applyAlignment="1">
      <alignment horizontal="center" wrapText="1"/>
    </xf>
    <xf numFmtId="173" fontId="25" fillId="7" borderId="0" xfId="0" applyNumberFormat="1" applyFont="1" applyFill="1" applyAlignment="1">
      <alignment wrapText="1"/>
    </xf>
    <xf numFmtId="0" fontId="27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center" wrapText="1"/>
    </xf>
    <xf numFmtId="0" fontId="27" fillId="8" borderId="0" xfId="0" applyFont="1" applyFill="1" applyAlignment="1">
      <alignment wrapText="1"/>
    </xf>
    <xf numFmtId="4" fontId="25" fillId="8" borderId="0" xfId="0" applyNumberFormat="1" applyFont="1" applyFill="1" applyAlignment="1">
      <alignment horizontal="right" wrapText="1"/>
    </xf>
    <xf numFmtId="167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8" fillId="0" borderId="0" xfId="0" applyFont="1"/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/>
    </xf>
    <xf numFmtId="164" fontId="39" fillId="0" borderId="0" xfId="0" applyNumberFormat="1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0" fontId="38" fillId="0" borderId="0" xfId="0" applyFont="1" applyAlignment="1">
      <alignment vertical="top" wrapText="1"/>
    </xf>
    <xf numFmtId="164" fontId="38" fillId="0" borderId="0" xfId="0" applyNumberFormat="1" applyFont="1" applyAlignment="1">
      <alignment horizontal="right" vertical="top"/>
    </xf>
    <xf numFmtId="4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 applyAlignment="1">
      <alignment wrapText="1"/>
    </xf>
    <xf numFmtId="4" fontId="38" fillId="0" borderId="0" xfId="0" applyNumberFormat="1" applyFont="1"/>
    <xf numFmtId="0" fontId="39" fillId="0" borderId="0" xfId="0" applyFont="1" applyAlignment="1">
      <alignment vertical="top"/>
    </xf>
    <xf numFmtId="164" fontId="38" fillId="0" borderId="0" xfId="0" applyNumberFormat="1" applyFont="1"/>
    <xf numFmtId="172" fontId="38" fillId="0" borderId="0" xfId="0" applyNumberFormat="1" applyFont="1"/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164" fontId="39" fillId="0" borderId="0" xfId="0" applyNumberFormat="1" applyFont="1"/>
    <xf numFmtId="164" fontId="38" fillId="0" borderId="0" xfId="0" applyNumberFormat="1" applyFont="1" applyAlignment="1">
      <alignment horizontal="right"/>
    </xf>
    <xf numFmtId="0" fontId="39" fillId="0" borderId="0" xfId="0" applyFont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/>
    <xf numFmtId="170" fontId="3" fillId="7" borderId="0" xfId="0" applyNumberFormat="1" applyFont="1" applyFill="1"/>
    <xf numFmtId="9" fontId="3" fillId="7" borderId="0" xfId="0" applyNumberFormat="1" applyFont="1" applyFill="1"/>
    <xf numFmtId="0" fontId="2" fillId="7" borderId="0" xfId="0" applyFont="1" applyFill="1" applyAlignment="1">
      <alignment wrapText="1"/>
    </xf>
    <xf numFmtId="170" fontId="2" fillId="7" borderId="0" xfId="0" applyNumberFormat="1" applyFont="1" applyFill="1"/>
    <xf numFmtId="9" fontId="2" fillId="7" borderId="0" xfId="0" applyNumberFormat="1" applyFont="1" applyFill="1"/>
    <xf numFmtId="175" fontId="3" fillId="7" borderId="0" xfId="0" applyNumberFormat="1" applyFont="1" applyFill="1"/>
    <xf numFmtId="175" fontId="2" fillId="7" borderId="0" xfId="0" applyNumberFormat="1" applyFont="1" applyFill="1"/>
    <xf numFmtId="173" fontId="41" fillId="0" borderId="0" xfId="0" applyNumberFormat="1" applyFont="1" applyAlignment="1">
      <alignment wrapText="1"/>
    </xf>
    <xf numFmtId="173" fontId="26" fillId="0" borderId="0" xfId="0" applyNumberFormat="1" applyFont="1" applyAlignment="1">
      <alignment horizontal="right" wrapText="1"/>
    </xf>
    <xf numFmtId="173" fontId="42" fillId="0" borderId="0" xfId="0" applyNumberFormat="1" applyFont="1" applyAlignment="1">
      <alignment wrapText="1"/>
    </xf>
    <xf numFmtId="173" fontId="26" fillId="7" borderId="0" xfId="0" applyNumberFormat="1" applyFont="1" applyFill="1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D5D"/>
      <color rgb="FF639729"/>
      <color rgb="FF2F76B7"/>
      <color rgb="FF3B87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egresos</a:t>
            </a:r>
          </a:p>
          <a:p>
            <a:pPr>
              <a:defRPr/>
            </a:pPr>
            <a:r>
              <a:rPr lang="en-US"/>
              <a:t>Al 31 de marzo</a:t>
            </a:r>
            <a:r>
              <a:rPr lang="en-US" baseline="0"/>
              <a:t> </a:t>
            </a:r>
            <a:r>
              <a:rPr lang="en-US"/>
              <a:t>del 2022</a:t>
            </a:r>
          </a:p>
          <a:p>
            <a:pPr>
              <a:defRPr/>
            </a:pPr>
            <a:r>
              <a:rPr lang="en-US"/>
              <a:t>Millones de colones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507771760410359E-2"/>
          <c:y val="0.2503999635892577"/>
          <c:w val="0.83685528628792016"/>
          <c:h val="0.66696613856160558"/>
        </c:manualLayout>
      </c:layout>
      <c:pie3DChart>
        <c:varyColors val="1"/>
        <c:ser>
          <c:idx val="0"/>
          <c:order val="0"/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Partida'!$B$6:$B$11</c:f>
            </c:numRef>
          </c:val>
          <c:extLst>
            <c:ext xmlns:c16="http://schemas.microsoft.com/office/drawing/2014/chart" uri="{C3380CC4-5D6E-409C-BE32-E72D297353CC}">
              <c16:uniqueId val="{00000000-6BCF-4212-A464-01165B4CBA6E}"/>
            </c:ext>
          </c:extLst>
        </c:ser>
        <c:ser>
          <c:idx val="1"/>
          <c:order val="1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BCF-4212-A464-01165B4CBA6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BCF-4212-A464-01165B4CB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Partida'!$C$6:$C$11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F-4212-A464-01165B4CBA6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BCF-4212-A464-01165B4CBA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BCF-4212-A464-01165B4CBA6E}"/>
              </c:ext>
            </c:extLst>
          </c:dPt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Partida'!$E$6:$E$11</c:f>
              <c:numCache>
                <c:formatCode>0%</c:formatCode>
                <c:ptCount val="6"/>
                <c:pt idx="0">
                  <c:v>0.81471797106251809</c:v>
                </c:pt>
                <c:pt idx="1">
                  <c:v>0.1552109310230306</c:v>
                </c:pt>
                <c:pt idx="2">
                  <c:v>8.5673466085762449E-3</c:v>
                </c:pt>
                <c:pt idx="3">
                  <c:v>1.152316100344033E-4</c:v>
                </c:pt>
                <c:pt idx="4">
                  <c:v>2.138851969584054E-2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CF-4212-A464-01165B4C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774246571328366E-2"/>
          <c:w val="0.99969135489822147"/>
          <c:h val="0.96451506857343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de egresos'!$D$4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1.6909740862881442E-3"/>
                  <c:y val="6.9930082765283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egresos'!$D$5:$D$10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986-84CE-7AA8ECF46584}"/>
            </c:ext>
          </c:extLst>
        </c:ser>
        <c:ser>
          <c:idx val="1"/>
          <c:order val="1"/>
          <c:tx>
            <c:strRef>
              <c:f>'Comparativo de egresos'!$C$4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690974086288268E-3"/>
                  <c:y val="1.1655013794213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egresos'!$C$5:$C$10</c:f>
              <c:numCache>
                <c:formatCode>#,###,,</c:formatCode>
                <c:ptCount val="6"/>
                <c:pt idx="0">
                  <c:v>869343632.67999995</c:v>
                </c:pt>
                <c:pt idx="1">
                  <c:v>163868430.36000001</c:v>
                </c:pt>
                <c:pt idx="2">
                  <c:v>3662976.17</c:v>
                </c:pt>
                <c:pt idx="3">
                  <c:v>6224151.3099999996</c:v>
                </c:pt>
                <c:pt idx="4">
                  <c:v>50105059.600000001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2-4986-84CE-7AA8ECF46584}"/>
            </c:ext>
          </c:extLst>
        </c:ser>
        <c:ser>
          <c:idx val="2"/>
          <c:order val="2"/>
          <c:tx>
            <c:strRef>
              <c:f>'Comparativo de egresos'!$B$4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2-4986-84CE-7AA8ECF46584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2-4986-84CE-7AA8ECF46584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2-4986-84CE-7AA8ECF4658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2-4986-84CE-7AA8ECF46584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2-4986-84CE-7AA8ECF46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egresos'!$B$5:$B$10</c:f>
              <c:numCache>
                <c:formatCode>#,###,,</c:formatCode>
                <c:ptCount val="6"/>
                <c:pt idx="0">
                  <c:v>839899928.70000005</c:v>
                </c:pt>
                <c:pt idx="1">
                  <c:v>246877240.12</c:v>
                </c:pt>
                <c:pt idx="2">
                  <c:v>32902529.98</c:v>
                </c:pt>
                <c:pt idx="3">
                  <c:v>34194310.520000003</c:v>
                </c:pt>
                <c:pt idx="4">
                  <c:v>17109526.670000002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62-4986-84CE-7AA8ECF4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20211720"/>
        <c:axId val="220215640"/>
      </c:barChart>
      <c:valAx>
        <c:axId val="220215640"/>
        <c:scaling>
          <c:orientation val="minMax"/>
        </c:scaling>
        <c:delete val="0"/>
        <c:axPos val="r"/>
        <c:numFmt formatCode="#,###,," sourceLinked="1"/>
        <c:majorTickMark val="out"/>
        <c:minorTickMark val="none"/>
        <c:tickLblPos val="nextTo"/>
        <c:crossAx val="220211720"/>
        <c:crosses val="max"/>
        <c:crossBetween val="between"/>
      </c:valAx>
      <c:catAx>
        <c:axId val="22021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15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>
          <a:glow rad="127000">
            <a:schemeClr val="accent1">
              <a:alpha val="96000"/>
            </a:schemeClr>
          </a:glow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Hoja3!$C$6:$C$7</c:f>
              <c:numCache>
                <c:formatCode>#,##0</c:formatCode>
                <c:ptCount val="2"/>
                <c:pt idx="0">
                  <c:v>34300000000</c:v>
                </c:pt>
                <c:pt idx="1">
                  <c:v>47700000000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B-4E7D-94B4-740058B131F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Hoja3!$D$6:$D$7</c:f>
              <c:numCache>
                <c:formatCode>0.00%</c:formatCode>
                <c:ptCount val="2"/>
                <c:pt idx="0">
                  <c:v>0.41829268292682925</c:v>
                </c:pt>
                <c:pt idx="1">
                  <c:v>0.58170731707317069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DB-4E7D-94B4-740058B1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39784946236562E-2"/>
          <c:w val="1"/>
          <c:h val="0.90927355854711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Hoja3!$C$18</c:f>
              <c:numCache>
                <c:formatCode>[$$-2C0A]\ #,##0</c:formatCode>
                <c:ptCount val="1"/>
                <c:pt idx="0">
                  <c:v>5169564.49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2-443E-A36E-F201E07F2B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2-443E-A36E-F201E07F2B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12-4924-8855-18F00553E7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12-4924-8855-18F00553E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Hoja3!$B$32:$B$33</c:f>
              <c:strCache>
                <c:ptCount val="2"/>
                <c:pt idx="0">
                  <c:v>Colones</c:v>
                </c:pt>
                <c:pt idx="1">
                  <c:v>Dolares</c:v>
                </c:pt>
              </c:strCache>
            </c:strRef>
          </c:cat>
          <c:val>
            <c:numRef>
              <c:f>Hoja3!$C$32:$C$33</c:f>
              <c:numCache>
                <c:formatCode>#,##0</c:formatCode>
                <c:ptCount val="2"/>
                <c:pt idx="0">
                  <c:v>82000000000</c:v>
                </c:pt>
                <c:pt idx="1">
                  <c:v>2985475188.6199002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2-4924-8855-18F0055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F012-4924-8855-18F00553E7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F012-4924-8855-18F00553E7D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Hoja3!$B$32:$B$33</c15:sqref>
                        </c15:formulaRef>
                      </c:ext>
                    </c:extLst>
                    <c:strCache>
                      <c:ptCount val="2"/>
                      <c:pt idx="0">
                        <c:v>Colones</c:v>
                      </c:pt>
                      <c:pt idx="1">
                        <c:v>Dolares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Hoja3!$D$32:$D$33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0.96487075959752144</c:v>
                      </c:pt>
                      <c:pt idx="1">
                        <c:v>3.5129240402478501E-2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012-4924-8855-18F00553E7D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142875</xdr:rowOff>
    </xdr:from>
    <xdr:to>
      <xdr:col>17</xdr:col>
      <xdr:colOff>561974</xdr:colOff>
      <xdr:row>24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395285</xdr:colOff>
      <xdr:row>17</xdr:row>
      <xdr:rowOff>68580</xdr:rowOff>
    </xdr:from>
    <xdr:to>
      <xdr:col>16</xdr:col>
      <xdr:colOff>238125</xdr:colOff>
      <xdr:row>41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0.52829</cdr:x>
      <cdr:y>0.10649</cdr:y>
    </cdr:from>
    <cdr:to>
      <cdr:x>0.68672</cdr:x>
      <cdr:y>0.22296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24340" y="609600"/>
          <a:ext cx="12668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0.514</cdr:x>
      <cdr:y>0.11647</cdr:y>
    </cdr:from>
    <cdr:to>
      <cdr:x>0.83204</cdr:x>
      <cdr:y>0.30116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110040" y="666750"/>
          <a:ext cx="2543175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0.46862</cdr:x>
      <cdr:y>0.09775</cdr:y>
    </cdr:from>
    <cdr:to>
      <cdr:x>0.73934</cdr:x>
      <cdr:y>0.12686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904300" y="537210"/>
          <a:ext cx="225552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2</xdr:row>
      <xdr:rowOff>121920</xdr:rowOff>
    </xdr:from>
    <xdr:to>
      <xdr:col>11</xdr:col>
      <xdr:colOff>41910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312420</xdr:colOff>
      <xdr:row>13</xdr:row>
      <xdr:rowOff>68580</xdr:rowOff>
    </xdr:from>
    <xdr:to>
      <xdr:col>10</xdr:col>
      <xdr:colOff>266700</xdr:colOff>
      <xdr:row>25</xdr:row>
      <xdr:rowOff>99060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609600</xdr:colOff>
      <xdr:row>40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88"/>
  <sheetViews>
    <sheetView zoomScale="200" zoomScaleNormal="200" workbookViewId="0">
      <pane xSplit="5" ySplit="6" topLeftCell="H265" activePane="bottomRight" state="frozen"/>
      <selection pane="topRight" activeCell="F1" sqref="F1"/>
      <selection pane="bottomLeft" activeCell="A7" sqref="A7"/>
      <selection pane="bottomRight" activeCell="N381" sqref="N381"/>
    </sheetView>
  </sheetViews>
  <sheetFormatPr baseColWidth="10" defaultRowHeight="15" x14ac:dyDescent="0.25"/>
  <cols>
    <col min="1" max="1" width="12.5703125" style="1" customWidth="1"/>
    <col min="2" max="2" width="6.42578125" customWidth="1"/>
    <col min="3" max="3" width="15.28515625" hidden="1" customWidth="1"/>
    <col min="4" max="4" width="0" hidden="1" customWidth="1"/>
    <col min="5" max="5" width="26.140625" style="1" customWidth="1"/>
    <col min="6" max="6" width="8.7109375" customWidth="1"/>
    <col min="7" max="7" width="12.85546875" bestFit="1" customWidth="1"/>
    <col min="8" max="8" width="8.5703125" customWidth="1"/>
    <col min="9" max="11" width="10.5703125" hidden="1" customWidth="1"/>
    <col min="12" max="12" width="9.85546875" bestFit="1" customWidth="1"/>
    <col min="13" max="13" width="12.42578125" bestFit="1" customWidth="1"/>
    <col min="14" max="14" width="12.42578125" customWidth="1"/>
    <col min="15" max="15" width="8.5703125" bestFit="1" customWidth="1"/>
    <col min="16" max="16" width="12" bestFit="1" customWidth="1"/>
    <col min="17" max="17" width="15.7109375" bestFit="1" customWidth="1"/>
    <col min="18" max="18" width="12.7109375" bestFit="1" customWidth="1"/>
  </cols>
  <sheetData>
    <row r="1" spans="1:18" x14ac:dyDescent="0.25">
      <c r="A1" s="232" t="s">
        <v>46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8" x14ac:dyDescent="0.25">
      <c r="A2" s="232" t="s">
        <v>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8" x14ac:dyDescent="0.25">
      <c r="A3" s="232" t="s">
        <v>581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8" x14ac:dyDescent="0.25">
      <c r="A4" s="233" t="s">
        <v>686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8" x14ac:dyDescent="0.25">
      <c r="A5" s="233" t="s">
        <v>660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8" ht="33.75" x14ac:dyDescent="0.25">
      <c r="A6" s="125"/>
      <c r="B6" s="125"/>
      <c r="C6" s="149"/>
      <c r="D6" s="125"/>
      <c r="E6" s="125"/>
      <c r="F6" s="150" t="s">
        <v>185</v>
      </c>
      <c r="G6" s="151" t="s">
        <v>52</v>
      </c>
      <c r="H6" s="151" t="s">
        <v>186</v>
      </c>
      <c r="I6" s="125" t="s">
        <v>664</v>
      </c>
      <c r="J6" s="125" t="s">
        <v>187</v>
      </c>
      <c r="K6" s="125" t="s">
        <v>188</v>
      </c>
      <c r="L6" s="126" t="s">
        <v>57</v>
      </c>
      <c r="M6" s="126" t="s">
        <v>45</v>
      </c>
      <c r="N6" s="126" t="s">
        <v>677</v>
      </c>
      <c r="O6" s="126" t="s">
        <v>1</v>
      </c>
      <c r="P6" s="126" t="s">
        <v>58</v>
      </c>
    </row>
    <row r="7" spans="1:18" ht="23.25" x14ac:dyDescent="0.25">
      <c r="A7" s="127" t="s">
        <v>189</v>
      </c>
      <c r="B7" s="152"/>
      <c r="C7" s="153" t="e">
        <f>+C8+C184+#REF!</f>
        <v>#REF!</v>
      </c>
      <c r="D7" s="125"/>
      <c r="E7" s="128"/>
      <c r="F7" s="154">
        <f t="shared" ref="F7:P7" si="0">+F8+F171+F216</f>
        <v>5688547194.2299995</v>
      </c>
      <c r="G7" s="154">
        <f t="shared" si="0"/>
        <v>0</v>
      </c>
      <c r="H7" s="154">
        <f t="shared" si="0"/>
        <v>5688547194.2299995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1057747549.8700002</v>
      </c>
      <c r="N7" s="154">
        <f t="shared" si="0"/>
        <v>0</v>
      </c>
      <c r="O7" s="154">
        <f t="shared" si="0"/>
        <v>1057747549.8700002</v>
      </c>
      <c r="P7" s="154">
        <f t="shared" si="0"/>
        <v>4630499644.3600006</v>
      </c>
    </row>
    <row r="8" spans="1:18" x14ac:dyDescent="0.25">
      <c r="A8" s="143" t="s">
        <v>190</v>
      </c>
      <c r="B8" s="125"/>
      <c r="C8" s="155">
        <f>+C9+C51</f>
        <v>5554677482.2299995</v>
      </c>
      <c r="D8" s="125"/>
      <c r="E8" s="129"/>
      <c r="F8" s="156">
        <f t="shared" ref="F8:P8" si="1">+F9+F51</f>
        <v>5554677482.2299995</v>
      </c>
      <c r="G8" s="156">
        <f t="shared" si="1"/>
        <v>0</v>
      </c>
      <c r="H8" s="156">
        <f t="shared" si="1"/>
        <v>5554677482.2299995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1035121288.2900002</v>
      </c>
      <c r="N8" s="156">
        <f t="shared" si="1"/>
        <v>0</v>
      </c>
      <c r="O8" s="156">
        <f t="shared" si="1"/>
        <v>1035121288.2900002</v>
      </c>
      <c r="P8" s="156">
        <f t="shared" si="1"/>
        <v>4519256193.9400005</v>
      </c>
    </row>
    <row r="9" spans="1:18" x14ac:dyDescent="0.25">
      <c r="A9" s="145" t="s">
        <v>191</v>
      </c>
      <c r="B9" s="125"/>
      <c r="C9" s="157">
        <f>+C10+C37</f>
        <v>3765049412.48</v>
      </c>
      <c r="D9" s="158">
        <v>0</v>
      </c>
      <c r="E9" s="128" t="s">
        <v>192</v>
      </c>
      <c r="F9" s="159">
        <f>(F11+F18+F25+F37+F44+F32)</f>
        <v>3765049412.48</v>
      </c>
      <c r="G9" s="159">
        <f t="shared" ref="G9:P9" si="2">(G11+G18+G25+G37+G44+G32)</f>
        <v>0</v>
      </c>
      <c r="H9" s="159">
        <f t="shared" si="2"/>
        <v>3765049412.48</v>
      </c>
      <c r="I9" s="159">
        <f t="shared" si="2"/>
        <v>0</v>
      </c>
      <c r="J9" s="159">
        <f t="shared" si="2"/>
        <v>0</v>
      </c>
      <c r="K9" s="159">
        <f t="shared" si="2"/>
        <v>0</v>
      </c>
      <c r="L9" s="159">
        <f>(L11+L18+L25+L37+L44+L32)</f>
        <v>0</v>
      </c>
      <c r="M9" s="159">
        <f t="shared" si="2"/>
        <v>861865252.25000012</v>
      </c>
      <c r="N9" s="159">
        <f t="shared" si="2"/>
        <v>0</v>
      </c>
      <c r="O9" s="159">
        <f t="shared" si="2"/>
        <v>861865252.25000012</v>
      </c>
      <c r="P9" s="159">
        <f t="shared" si="2"/>
        <v>2903184160.23</v>
      </c>
    </row>
    <row r="10" spans="1:18" x14ac:dyDescent="0.25">
      <c r="A10" s="145" t="s">
        <v>193</v>
      </c>
      <c r="B10" s="125"/>
      <c r="C10" s="157">
        <f>+F11+F18+F25+F32</f>
        <v>3067824085.48</v>
      </c>
      <c r="D10" s="160"/>
      <c r="E10" s="128"/>
      <c r="F10" s="161">
        <f>+F11+F18+F25+F32</f>
        <v>3067824085.48</v>
      </c>
      <c r="G10" s="161">
        <f>+G11+G18+G25+G32</f>
        <v>0</v>
      </c>
      <c r="H10" s="161">
        <f t="shared" ref="H10:P10" si="3">+H11+H18+H25+H32</f>
        <v>3067824085.48</v>
      </c>
      <c r="I10" s="161">
        <f t="shared" si="3"/>
        <v>0</v>
      </c>
      <c r="J10" s="161">
        <f t="shared" si="3"/>
        <v>0</v>
      </c>
      <c r="K10" s="161">
        <f t="shared" si="3"/>
        <v>0</v>
      </c>
      <c r="L10" s="161">
        <f>+L11+L18+L25+L32</f>
        <v>0</v>
      </c>
      <c r="M10" s="161">
        <f t="shared" si="3"/>
        <v>701581741.23000002</v>
      </c>
      <c r="N10" s="161">
        <f t="shared" si="3"/>
        <v>0</v>
      </c>
      <c r="O10" s="161">
        <f t="shared" si="3"/>
        <v>701581741.23000002</v>
      </c>
      <c r="P10" s="161">
        <f t="shared" si="3"/>
        <v>2366242344.25</v>
      </c>
    </row>
    <row r="11" spans="1:18" x14ac:dyDescent="0.25">
      <c r="A11" s="130"/>
      <c r="B11" s="125" t="s">
        <v>194</v>
      </c>
      <c r="C11" s="157"/>
      <c r="D11" s="162">
        <v>1</v>
      </c>
      <c r="E11" s="131" t="s">
        <v>195</v>
      </c>
      <c r="F11" s="159">
        <f>SUM(F12:F16)</f>
        <v>1274254663.48</v>
      </c>
      <c r="G11" s="159">
        <f t="shared" ref="G11:P11" si="4">SUM(G12:G16)</f>
        <v>0</v>
      </c>
      <c r="H11" s="159">
        <f t="shared" si="4"/>
        <v>1274254663.48</v>
      </c>
      <c r="I11" s="159">
        <f t="shared" si="4"/>
        <v>0</v>
      </c>
      <c r="J11" s="159">
        <f t="shared" si="4"/>
        <v>0</v>
      </c>
      <c r="K11" s="159">
        <f t="shared" si="4"/>
        <v>0</v>
      </c>
      <c r="L11" s="159">
        <f t="shared" ref="L11" si="5">SUM(L12:L16)</f>
        <v>0</v>
      </c>
      <c r="M11" s="159">
        <f t="shared" si="4"/>
        <v>292470961.95999998</v>
      </c>
      <c r="N11" s="159">
        <f t="shared" si="4"/>
        <v>0</v>
      </c>
      <c r="O11" s="159">
        <f t="shared" si="4"/>
        <v>292470961.95999998</v>
      </c>
      <c r="P11" s="159">
        <f t="shared" si="4"/>
        <v>981783701.51999998</v>
      </c>
    </row>
    <row r="12" spans="1:18" x14ac:dyDescent="0.25">
      <c r="A12" s="130"/>
      <c r="B12" s="125" t="s">
        <v>194</v>
      </c>
      <c r="C12" s="149"/>
      <c r="D12" s="163">
        <v>101</v>
      </c>
      <c r="E12" s="132" t="s">
        <v>196</v>
      </c>
      <c r="F12" s="164">
        <v>1242415548</v>
      </c>
      <c r="G12" s="165"/>
      <c r="H12" s="165">
        <f>+F12+G12</f>
        <v>1242415548</v>
      </c>
      <c r="I12" s="165"/>
      <c r="J12" s="165"/>
      <c r="K12" s="165"/>
      <c r="L12" s="165">
        <f t="shared" ref="L12" si="6">+I12+J12+K12</f>
        <v>0</v>
      </c>
      <c r="M12" s="165">
        <v>292090986.95999998</v>
      </c>
      <c r="N12" s="165"/>
      <c r="O12" s="165">
        <f>+L12+M12</f>
        <v>292090986.95999998</v>
      </c>
      <c r="P12" s="165">
        <f>+H12-O12-N12</f>
        <v>950324561.03999996</v>
      </c>
      <c r="Q12" s="2"/>
      <c r="R12" s="2"/>
    </row>
    <row r="13" spans="1:18" hidden="1" x14ac:dyDescent="0.25">
      <c r="A13" s="130"/>
      <c r="B13" s="125" t="s">
        <v>194</v>
      </c>
      <c r="C13" s="149"/>
      <c r="D13" s="163">
        <v>102</v>
      </c>
      <c r="E13" s="132" t="s">
        <v>197</v>
      </c>
      <c r="F13" s="164">
        <v>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>
        <f t="shared" ref="P13:P15" si="7">+H13-O13</f>
        <v>0</v>
      </c>
    </row>
    <row r="14" spans="1:18" hidden="1" x14ac:dyDescent="0.25">
      <c r="A14" s="130"/>
      <c r="B14" s="125" t="s">
        <v>194</v>
      </c>
      <c r="C14" s="149"/>
      <c r="D14" s="163">
        <v>103</v>
      </c>
      <c r="E14" s="132" t="s">
        <v>198</v>
      </c>
      <c r="F14" s="164">
        <v>0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f t="shared" si="7"/>
        <v>0</v>
      </c>
    </row>
    <row r="15" spans="1:18" hidden="1" x14ac:dyDescent="0.25">
      <c r="A15" s="130"/>
      <c r="B15" s="125" t="s">
        <v>194</v>
      </c>
      <c r="C15" s="149"/>
      <c r="D15" s="163">
        <v>104</v>
      </c>
      <c r="E15" s="132" t="s">
        <v>199</v>
      </c>
      <c r="F15" s="164">
        <v>0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>
        <f t="shared" si="7"/>
        <v>0</v>
      </c>
    </row>
    <row r="16" spans="1:18" x14ac:dyDescent="0.25">
      <c r="A16" s="130"/>
      <c r="B16" s="125" t="s">
        <v>194</v>
      </c>
      <c r="C16" s="149"/>
      <c r="D16" s="163">
        <v>105</v>
      </c>
      <c r="E16" s="132" t="s">
        <v>200</v>
      </c>
      <c r="F16" s="164">
        <v>31839115.48</v>
      </c>
      <c r="G16" s="165"/>
      <c r="H16" s="165">
        <f>+F16+G16</f>
        <v>31839115.48</v>
      </c>
      <c r="I16" s="165"/>
      <c r="J16" s="165"/>
      <c r="K16" s="165"/>
      <c r="L16" s="165">
        <f t="shared" ref="L16" si="8">+I16+J16+K16</f>
        <v>0</v>
      </c>
      <c r="M16" s="165">
        <v>379975</v>
      </c>
      <c r="N16" s="165"/>
      <c r="O16" s="165">
        <f>+L16+M16</f>
        <v>379975</v>
      </c>
      <c r="P16" s="165">
        <f>+H16-O16-N16</f>
        <v>31459140.48</v>
      </c>
    </row>
    <row r="17" spans="1:16" x14ac:dyDescent="0.25">
      <c r="A17" s="130"/>
      <c r="B17" s="125"/>
      <c r="C17" s="149"/>
      <c r="D17" s="166"/>
      <c r="E17" s="132"/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x14ac:dyDescent="0.25">
      <c r="A18" s="130"/>
      <c r="B18" s="125" t="s">
        <v>194</v>
      </c>
      <c r="C18" s="157"/>
      <c r="D18" s="162">
        <v>2</v>
      </c>
      <c r="E18" s="131" t="s">
        <v>201</v>
      </c>
      <c r="F18" s="159">
        <f>SUM(F19:F23)</f>
        <v>34281059</v>
      </c>
      <c r="G18" s="159">
        <f t="shared" ref="G18:P18" si="9">SUM(G19:G23)</f>
        <v>0</v>
      </c>
      <c r="H18" s="159">
        <f t="shared" si="9"/>
        <v>34281059</v>
      </c>
      <c r="I18" s="159">
        <f t="shared" si="9"/>
        <v>0</v>
      </c>
      <c r="J18" s="159">
        <f t="shared" si="9"/>
        <v>0</v>
      </c>
      <c r="K18" s="159">
        <f t="shared" si="9"/>
        <v>0</v>
      </c>
      <c r="L18" s="159">
        <f t="shared" ref="L18" si="10">SUM(L19:L23)</f>
        <v>0</v>
      </c>
      <c r="M18" s="159">
        <f t="shared" si="9"/>
        <v>5058405.5999999996</v>
      </c>
      <c r="N18" s="159">
        <f t="shared" si="9"/>
        <v>0</v>
      </c>
      <c r="O18" s="159">
        <f t="shared" si="9"/>
        <v>5058405.5999999996</v>
      </c>
      <c r="P18" s="159">
        <f t="shared" si="9"/>
        <v>29222653.399999999</v>
      </c>
    </row>
    <row r="19" spans="1:16" x14ac:dyDescent="0.25">
      <c r="A19" s="130"/>
      <c r="B19" s="125" t="s">
        <v>194</v>
      </c>
      <c r="C19" s="149"/>
      <c r="D19" s="163">
        <v>201</v>
      </c>
      <c r="E19" s="132" t="s">
        <v>202</v>
      </c>
      <c r="F19" s="164">
        <v>34281059</v>
      </c>
      <c r="G19" s="165"/>
      <c r="H19" s="165">
        <f>+F19+G19</f>
        <v>34281059</v>
      </c>
      <c r="I19" s="165"/>
      <c r="J19" s="165"/>
      <c r="K19" s="165"/>
      <c r="L19" s="165">
        <f t="shared" ref="L19:L21" si="11">+I19+J19+K19</f>
        <v>0</v>
      </c>
      <c r="M19" s="165">
        <v>5058405.5999999996</v>
      </c>
      <c r="N19" s="165"/>
      <c r="O19" s="165">
        <f>+L19+M19</f>
        <v>5058405.5999999996</v>
      </c>
      <c r="P19" s="165">
        <f>+H19-O19-N19</f>
        <v>29222653.399999999</v>
      </c>
    </row>
    <row r="20" spans="1:16" x14ac:dyDescent="0.25">
      <c r="A20" s="130"/>
      <c r="B20" s="125" t="s">
        <v>194</v>
      </c>
      <c r="C20" s="149"/>
      <c r="D20" s="163">
        <v>202</v>
      </c>
      <c r="E20" s="132" t="s">
        <v>203</v>
      </c>
      <c r="F20" s="164">
        <v>0</v>
      </c>
      <c r="G20" s="165">
        <v>0</v>
      </c>
      <c r="H20" s="165">
        <f>+F20+G20</f>
        <v>0</v>
      </c>
      <c r="I20" s="165">
        <v>0</v>
      </c>
      <c r="J20" s="165"/>
      <c r="K20" s="165"/>
      <c r="L20" s="165">
        <f t="shared" si="11"/>
        <v>0</v>
      </c>
      <c r="M20" s="165">
        <v>0</v>
      </c>
      <c r="N20" s="165"/>
      <c r="O20" s="165">
        <f>+L20+M20</f>
        <v>0</v>
      </c>
      <c r="P20" s="165">
        <f>+H20-O20</f>
        <v>0</v>
      </c>
    </row>
    <row r="21" spans="1:16" x14ac:dyDescent="0.25">
      <c r="A21" s="130"/>
      <c r="B21" s="125" t="s">
        <v>194</v>
      </c>
      <c r="C21" s="149"/>
      <c r="D21" s="163">
        <v>203</v>
      </c>
      <c r="E21" s="132" t="s">
        <v>204</v>
      </c>
      <c r="F21" s="164">
        <v>0</v>
      </c>
      <c r="G21" s="165">
        <v>0</v>
      </c>
      <c r="H21" s="165">
        <f>+F21+G21</f>
        <v>0</v>
      </c>
      <c r="I21" s="165">
        <v>0</v>
      </c>
      <c r="J21" s="165">
        <v>0</v>
      </c>
      <c r="K21" s="165">
        <v>0</v>
      </c>
      <c r="L21" s="165">
        <f t="shared" si="11"/>
        <v>0</v>
      </c>
      <c r="M21" s="165">
        <v>0</v>
      </c>
      <c r="N21" s="165"/>
      <c r="O21" s="165">
        <f>+L21+M21</f>
        <v>0</v>
      </c>
      <c r="P21" s="165">
        <f>+H21-O21</f>
        <v>0</v>
      </c>
    </row>
    <row r="22" spans="1:16" hidden="1" x14ac:dyDescent="0.25">
      <c r="A22" s="130"/>
      <c r="B22" s="125" t="s">
        <v>194</v>
      </c>
      <c r="C22" s="149"/>
      <c r="D22" s="163">
        <v>204</v>
      </c>
      <c r="E22" s="132" t="s">
        <v>205</v>
      </c>
      <c r="F22" s="164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/>
      <c r="O22" s="165">
        <v>0</v>
      </c>
      <c r="P22" s="165">
        <v>0</v>
      </c>
    </row>
    <row r="23" spans="1:16" hidden="1" x14ac:dyDescent="0.25">
      <c r="A23" s="130"/>
      <c r="B23" s="125" t="s">
        <v>194</v>
      </c>
      <c r="C23" s="149"/>
      <c r="D23" s="163">
        <v>205</v>
      </c>
      <c r="E23" s="132" t="s">
        <v>206</v>
      </c>
      <c r="F23" s="164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/>
      <c r="O23" s="165">
        <v>0</v>
      </c>
      <c r="P23" s="165">
        <v>0</v>
      </c>
    </row>
    <row r="24" spans="1:16" x14ac:dyDescent="0.25">
      <c r="A24" s="130"/>
      <c r="B24" s="125"/>
      <c r="C24" s="149"/>
      <c r="D24" s="166"/>
      <c r="E24" s="132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x14ac:dyDescent="0.25">
      <c r="A25" s="130"/>
      <c r="B25" s="125" t="s">
        <v>194</v>
      </c>
      <c r="C25" s="157"/>
      <c r="D25" s="162">
        <v>3</v>
      </c>
      <c r="E25" s="131" t="s">
        <v>207</v>
      </c>
      <c r="F25" s="159">
        <f>SUM(F26:F30)</f>
        <v>1759288363</v>
      </c>
      <c r="G25" s="159">
        <f t="shared" ref="G25:P25" si="12">SUM(G26:G30)</f>
        <v>0</v>
      </c>
      <c r="H25" s="159">
        <f t="shared" si="12"/>
        <v>1759288363</v>
      </c>
      <c r="I25" s="159">
        <f t="shared" si="12"/>
        <v>0</v>
      </c>
      <c r="J25" s="159">
        <f t="shared" si="12"/>
        <v>0</v>
      </c>
      <c r="K25" s="159">
        <f t="shared" si="12"/>
        <v>0</v>
      </c>
      <c r="L25" s="159">
        <f t="shared" ref="L25" si="13">SUM(L26:L30)</f>
        <v>0</v>
      </c>
      <c r="M25" s="159">
        <f t="shared" si="12"/>
        <v>404052373.66999996</v>
      </c>
      <c r="N25" s="159">
        <f t="shared" si="12"/>
        <v>0</v>
      </c>
      <c r="O25" s="159">
        <f t="shared" si="12"/>
        <v>404052373.66999996</v>
      </c>
      <c r="P25" s="159">
        <f t="shared" si="12"/>
        <v>1355235989.3299999</v>
      </c>
    </row>
    <row r="26" spans="1:16" x14ac:dyDescent="0.25">
      <c r="A26" s="130"/>
      <c r="B26" s="125" t="s">
        <v>194</v>
      </c>
      <c r="C26" s="149"/>
      <c r="D26" s="163">
        <v>301</v>
      </c>
      <c r="E26" s="132" t="s">
        <v>208</v>
      </c>
      <c r="F26" s="164">
        <v>553640077</v>
      </c>
      <c r="G26" s="165"/>
      <c r="H26" s="165">
        <f>+F26+G26</f>
        <v>553640077</v>
      </c>
      <c r="I26" s="164"/>
      <c r="J26" s="164"/>
      <c r="K26" s="164"/>
      <c r="L26" s="165">
        <f t="shared" ref="L26:L30" si="14">+I26+J26+K26</f>
        <v>0</v>
      </c>
      <c r="M26" s="164">
        <v>82119345.159999996</v>
      </c>
      <c r="N26" s="164"/>
      <c r="O26" s="165">
        <f>+L26+M26</f>
        <v>82119345.159999996</v>
      </c>
      <c r="P26" s="165">
        <f t="shared" ref="P26:P30" si="15">+H26-O26-N26</f>
        <v>471520731.84000003</v>
      </c>
    </row>
    <row r="27" spans="1:16" ht="23.25" x14ac:dyDescent="0.25">
      <c r="A27" s="130"/>
      <c r="B27" s="125" t="s">
        <v>194</v>
      </c>
      <c r="C27" s="149"/>
      <c r="D27" s="163">
        <v>302</v>
      </c>
      <c r="E27" s="132" t="s">
        <v>209</v>
      </c>
      <c r="F27" s="164">
        <v>549177660</v>
      </c>
      <c r="G27" s="164"/>
      <c r="H27" s="165">
        <f>+F27+G27</f>
        <v>549177660</v>
      </c>
      <c r="I27" s="164"/>
      <c r="J27" s="164"/>
      <c r="K27" s="164"/>
      <c r="L27" s="165">
        <f t="shared" si="14"/>
        <v>0</v>
      </c>
      <c r="M27" s="164">
        <v>109490981.45999999</v>
      </c>
      <c r="N27" s="164"/>
      <c r="O27" s="165">
        <f>+L27+M27</f>
        <v>109490981.45999999</v>
      </c>
      <c r="P27" s="165">
        <f t="shared" si="15"/>
        <v>439686678.54000002</v>
      </c>
    </row>
    <row r="28" spans="1:16" x14ac:dyDescent="0.25">
      <c r="A28" s="130"/>
      <c r="B28" s="125" t="s">
        <v>194</v>
      </c>
      <c r="C28" s="149"/>
      <c r="D28" s="163">
        <v>303</v>
      </c>
      <c r="E28" s="132" t="s">
        <v>210</v>
      </c>
      <c r="F28" s="164">
        <v>235899332</v>
      </c>
      <c r="G28" s="164"/>
      <c r="H28" s="165">
        <f>+F28+G28</f>
        <v>235899332</v>
      </c>
      <c r="I28" s="164"/>
      <c r="J28" s="164"/>
      <c r="K28" s="164"/>
      <c r="L28" s="165">
        <f t="shared" si="14"/>
        <v>0</v>
      </c>
      <c r="M28" s="164">
        <v>105779.95</v>
      </c>
      <c r="N28" s="164"/>
      <c r="O28" s="165">
        <f>+L28+M28</f>
        <v>105779.95</v>
      </c>
      <c r="P28" s="165">
        <f t="shared" si="15"/>
        <v>235793552.05000001</v>
      </c>
    </row>
    <row r="29" spans="1:16" x14ac:dyDescent="0.25">
      <c r="A29" s="130"/>
      <c r="B29" s="125" t="s">
        <v>194</v>
      </c>
      <c r="C29" s="149"/>
      <c r="D29" s="163">
        <v>304</v>
      </c>
      <c r="E29" s="132" t="s">
        <v>211</v>
      </c>
      <c r="F29" s="164">
        <v>194287289</v>
      </c>
      <c r="G29" s="164"/>
      <c r="H29" s="165">
        <f>+F29+G29</f>
        <v>194287289</v>
      </c>
      <c r="I29" s="164"/>
      <c r="J29" s="164"/>
      <c r="K29" s="164"/>
      <c r="L29" s="165">
        <f t="shared" si="14"/>
        <v>0</v>
      </c>
      <c r="M29" s="164">
        <v>170007215.44999999</v>
      </c>
      <c r="N29" s="164"/>
      <c r="O29" s="165">
        <f>+L29+M29</f>
        <v>170007215.44999999</v>
      </c>
      <c r="P29" s="165">
        <f t="shared" si="15"/>
        <v>24280073.550000012</v>
      </c>
    </row>
    <row r="30" spans="1:16" x14ac:dyDescent="0.25">
      <c r="A30" s="130"/>
      <c r="B30" s="125" t="s">
        <v>194</v>
      </c>
      <c r="C30" s="149"/>
      <c r="D30" s="163">
        <v>399</v>
      </c>
      <c r="E30" s="132" t="s">
        <v>212</v>
      </c>
      <c r="F30" s="164">
        <v>226284005</v>
      </c>
      <c r="G30" s="164"/>
      <c r="H30" s="165">
        <f>+F30+G30</f>
        <v>226284005</v>
      </c>
      <c r="I30" s="164"/>
      <c r="J30" s="164"/>
      <c r="K30" s="164"/>
      <c r="L30" s="165">
        <f t="shared" si="14"/>
        <v>0</v>
      </c>
      <c r="M30" s="164">
        <v>42329051.649999999</v>
      </c>
      <c r="N30" s="164"/>
      <c r="O30" s="165">
        <f>+L30+M30</f>
        <v>42329051.649999999</v>
      </c>
      <c r="P30" s="165">
        <f t="shared" si="15"/>
        <v>183954953.34999999</v>
      </c>
    </row>
    <row r="31" spans="1:16" x14ac:dyDescent="0.25">
      <c r="A31" s="133"/>
      <c r="B31" s="167"/>
      <c r="C31" s="168"/>
      <c r="D31" s="163"/>
      <c r="E31" s="132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idden="1" x14ac:dyDescent="0.25">
      <c r="A32" s="130"/>
      <c r="B32" s="125" t="s">
        <v>194</v>
      </c>
      <c r="C32" s="157"/>
      <c r="D32" s="162">
        <v>6</v>
      </c>
      <c r="E32" s="131" t="s">
        <v>213</v>
      </c>
      <c r="F32" s="159">
        <f t="shared" ref="F32:P32" si="16">(F33+F34)</f>
        <v>0</v>
      </c>
      <c r="G32" s="165">
        <f t="shared" si="16"/>
        <v>0</v>
      </c>
      <c r="H32" s="165">
        <f t="shared" si="16"/>
        <v>0</v>
      </c>
      <c r="I32" s="165">
        <f t="shared" si="16"/>
        <v>0</v>
      </c>
      <c r="J32" s="165">
        <f t="shared" si="16"/>
        <v>0</v>
      </c>
      <c r="K32" s="165">
        <f t="shared" si="16"/>
        <v>0</v>
      </c>
      <c r="L32" s="165">
        <f t="shared" ref="L32" si="17">(L33+L34)</f>
        <v>0</v>
      </c>
      <c r="M32" s="165">
        <f t="shared" si="16"/>
        <v>0</v>
      </c>
      <c r="N32" s="165"/>
      <c r="O32" s="165">
        <f t="shared" si="16"/>
        <v>0</v>
      </c>
      <c r="P32" s="165">
        <f t="shared" si="16"/>
        <v>0</v>
      </c>
    </row>
    <row r="33" spans="1:18" hidden="1" x14ac:dyDescent="0.25">
      <c r="A33" s="130"/>
      <c r="B33" s="125" t="s">
        <v>194</v>
      </c>
      <c r="C33" s="149"/>
      <c r="D33" s="163">
        <v>601</v>
      </c>
      <c r="E33" s="132" t="s">
        <v>214</v>
      </c>
      <c r="F33" s="164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/>
      <c r="O33" s="165">
        <v>0</v>
      </c>
      <c r="P33" s="165">
        <v>0</v>
      </c>
    </row>
    <row r="34" spans="1:18" hidden="1" x14ac:dyDescent="0.25">
      <c r="A34" s="130"/>
      <c r="B34" s="125" t="s">
        <v>194</v>
      </c>
      <c r="C34" s="149"/>
      <c r="D34" s="163">
        <v>602</v>
      </c>
      <c r="E34" s="132" t="s">
        <v>215</v>
      </c>
      <c r="F34" s="164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/>
      <c r="O34" s="165">
        <v>0</v>
      </c>
      <c r="P34" s="165">
        <v>0</v>
      </c>
    </row>
    <row r="35" spans="1:18" hidden="1" x14ac:dyDescent="0.25">
      <c r="A35" s="130"/>
      <c r="B35" s="125"/>
      <c r="C35" s="149"/>
      <c r="D35" s="163"/>
      <c r="E35" s="132"/>
      <c r="F35" s="164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8" x14ac:dyDescent="0.25">
      <c r="A36" s="145" t="s">
        <v>216</v>
      </c>
      <c r="B36" s="134"/>
      <c r="C36" s="134"/>
      <c r="D36" s="134"/>
      <c r="E36" s="134"/>
      <c r="F36" s="169">
        <f>+F37+F44</f>
        <v>697225327</v>
      </c>
      <c r="G36" s="169">
        <f t="shared" ref="G36:P36" si="18">+G37+G44</f>
        <v>0</v>
      </c>
      <c r="H36" s="169">
        <f t="shared" si="18"/>
        <v>697225327</v>
      </c>
      <c r="I36" s="169">
        <f t="shared" si="18"/>
        <v>0</v>
      </c>
      <c r="J36" s="169">
        <f t="shared" si="18"/>
        <v>0</v>
      </c>
      <c r="K36" s="169">
        <f t="shared" si="18"/>
        <v>0</v>
      </c>
      <c r="L36" s="169">
        <f t="shared" ref="L36" si="19">+L37+L44</f>
        <v>0</v>
      </c>
      <c r="M36" s="169">
        <f t="shared" si="18"/>
        <v>160283511.02000001</v>
      </c>
      <c r="N36" s="169">
        <f t="shared" si="18"/>
        <v>0</v>
      </c>
      <c r="O36" s="228">
        <f t="shared" si="18"/>
        <v>160283511.02000001</v>
      </c>
      <c r="P36" s="169">
        <f t="shared" si="18"/>
        <v>536941815.98000002</v>
      </c>
    </row>
    <row r="37" spans="1:18" ht="23.25" x14ac:dyDescent="0.25">
      <c r="A37" s="130"/>
      <c r="B37" s="125"/>
      <c r="C37" s="157">
        <f>+F37+F44</f>
        <v>697225327</v>
      </c>
      <c r="D37" s="162">
        <v>4</v>
      </c>
      <c r="E37" s="131" t="s">
        <v>217</v>
      </c>
      <c r="F37" s="159">
        <f>SUM(F38:F42)</f>
        <v>276112664</v>
      </c>
      <c r="G37" s="159">
        <f t="shared" ref="G37:P37" si="20">SUM(G38:G42)</f>
        <v>0</v>
      </c>
      <c r="H37" s="159">
        <f t="shared" si="20"/>
        <v>276112664</v>
      </c>
      <c r="I37" s="159">
        <f t="shared" si="20"/>
        <v>0</v>
      </c>
      <c r="J37" s="159">
        <f t="shared" si="20"/>
        <v>0</v>
      </c>
      <c r="K37" s="159">
        <f t="shared" si="20"/>
        <v>0</v>
      </c>
      <c r="L37" s="159">
        <f t="shared" ref="L37" si="21">SUM(L38:L42)</f>
        <v>0</v>
      </c>
      <c r="M37" s="159">
        <f t="shared" si="20"/>
        <v>68436700.430000007</v>
      </c>
      <c r="N37" s="159">
        <f t="shared" si="20"/>
        <v>0</v>
      </c>
      <c r="O37" s="172">
        <f t="shared" si="20"/>
        <v>68436700.430000007</v>
      </c>
      <c r="P37" s="159">
        <f t="shared" si="20"/>
        <v>207675963.56999999</v>
      </c>
    </row>
    <row r="38" spans="1:18" ht="23.25" x14ac:dyDescent="0.25">
      <c r="A38" s="130"/>
      <c r="B38" s="125" t="s">
        <v>218</v>
      </c>
      <c r="C38" s="149"/>
      <c r="D38" s="163">
        <v>401</v>
      </c>
      <c r="E38" s="132" t="s">
        <v>219</v>
      </c>
      <c r="F38" s="164">
        <v>261953040</v>
      </c>
      <c r="G38" s="164"/>
      <c r="H38" s="165">
        <f>+F38+G38</f>
        <v>261953040</v>
      </c>
      <c r="I38" s="164"/>
      <c r="J38" s="164"/>
      <c r="K38" s="164"/>
      <c r="L38" s="165">
        <f t="shared" ref="L38:L42" si="22">+I38+J38+K38</f>
        <v>0</v>
      </c>
      <c r="M38" s="164">
        <v>64941837.350000001</v>
      </c>
      <c r="N38" s="164"/>
      <c r="O38" s="165">
        <f>+L38+M38</f>
        <v>64941837.350000001</v>
      </c>
      <c r="P38" s="165">
        <f t="shared" ref="P38:P42" si="23">+H38-O38-N38</f>
        <v>197011202.65000001</v>
      </c>
    </row>
    <row r="39" spans="1:18" hidden="1" x14ac:dyDescent="0.25">
      <c r="A39" s="130"/>
      <c r="B39" s="125" t="s">
        <v>218</v>
      </c>
      <c r="C39" s="149"/>
      <c r="D39" s="163" t="s">
        <v>220</v>
      </c>
      <c r="E39" s="132" t="s">
        <v>221</v>
      </c>
      <c r="F39" s="164">
        <v>0</v>
      </c>
      <c r="G39" s="164">
        <v>0</v>
      </c>
      <c r="H39" s="165">
        <f>+F39+G39</f>
        <v>0</v>
      </c>
      <c r="I39" s="164"/>
      <c r="J39" s="164"/>
      <c r="K39" s="164"/>
      <c r="L39" s="165">
        <f t="shared" si="22"/>
        <v>0</v>
      </c>
      <c r="M39" s="164"/>
      <c r="N39" s="164"/>
      <c r="O39" s="165">
        <f>+L39+M39</f>
        <v>0</v>
      </c>
      <c r="P39" s="165">
        <f t="shared" si="23"/>
        <v>0</v>
      </c>
    </row>
    <row r="40" spans="1:18" hidden="1" x14ac:dyDescent="0.25">
      <c r="A40" s="130"/>
      <c r="B40" s="125" t="s">
        <v>218</v>
      </c>
      <c r="C40" s="149"/>
      <c r="D40" s="163" t="s">
        <v>222</v>
      </c>
      <c r="E40" s="132" t="s">
        <v>223</v>
      </c>
      <c r="F40" s="164">
        <v>0</v>
      </c>
      <c r="G40" s="164">
        <v>0</v>
      </c>
      <c r="H40" s="165">
        <f>+F40+G40</f>
        <v>0</v>
      </c>
      <c r="I40" s="164"/>
      <c r="J40" s="164"/>
      <c r="K40" s="164"/>
      <c r="L40" s="165">
        <f t="shared" si="22"/>
        <v>0</v>
      </c>
      <c r="M40" s="164"/>
      <c r="N40" s="164"/>
      <c r="O40" s="165">
        <f>+L40+M40</f>
        <v>0</v>
      </c>
      <c r="P40" s="165">
        <f t="shared" si="23"/>
        <v>0</v>
      </c>
    </row>
    <row r="41" spans="1:18" hidden="1" x14ac:dyDescent="0.25">
      <c r="A41" s="130"/>
      <c r="B41" s="125" t="s">
        <v>218</v>
      </c>
      <c r="C41" s="149"/>
      <c r="D41" s="163" t="s">
        <v>224</v>
      </c>
      <c r="E41" s="132" t="s">
        <v>225</v>
      </c>
      <c r="F41" s="164">
        <v>0</v>
      </c>
      <c r="G41" s="164">
        <v>0</v>
      </c>
      <c r="H41" s="165">
        <f>+F41+G41</f>
        <v>0</v>
      </c>
      <c r="I41" s="164"/>
      <c r="J41" s="164"/>
      <c r="K41" s="164"/>
      <c r="L41" s="165">
        <f t="shared" si="22"/>
        <v>0</v>
      </c>
      <c r="M41" s="164"/>
      <c r="N41" s="164"/>
      <c r="O41" s="165">
        <f>+L41+M41</f>
        <v>0</v>
      </c>
      <c r="P41" s="165">
        <f t="shared" si="23"/>
        <v>0</v>
      </c>
    </row>
    <row r="42" spans="1:18" ht="23.25" x14ac:dyDescent="0.25">
      <c r="A42" s="130"/>
      <c r="B42" s="125" t="s">
        <v>218</v>
      </c>
      <c r="C42" s="149"/>
      <c r="D42" s="163">
        <v>405</v>
      </c>
      <c r="E42" s="132" t="s">
        <v>226</v>
      </c>
      <c r="F42" s="164">
        <v>14159624</v>
      </c>
      <c r="G42" s="164"/>
      <c r="H42" s="165">
        <f>+F42+G42</f>
        <v>14159624</v>
      </c>
      <c r="I42" s="164"/>
      <c r="J42" s="164"/>
      <c r="K42" s="164"/>
      <c r="L42" s="165">
        <f t="shared" si="22"/>
        <v>0</v>
      </c>
      <c r="M42" s="164">
        <v>3494863.08</v>
      </c>
      <c r="N42" s="164"/>
      <c r="O42" s="165">
        <f>+L42+M42</f>
        <v>3494863.08</v>
      </c>
      <c r="P42" s="165">
        <f t="shared" si="23"/>
        <v>10664760.92</v>
      </c>
    </row>
    <row r="43" spans="1:18" x14ac:dyDescent="0.25">
      <c r="A43" s="130"/>
      <c r="B43" s="125"/>
      <c r="C43" s="149"/>
      <c r="D43" s="163"/>
      <c r="E43" s="132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8" ht="23.25" x14ac:dyDescent="0.25">
      <c r="A44" s="130"/>
      <c r="B44" s="125" t="s">
        <v>218</v>
      </c>
      <c r="C44" s="157"/>
      <c r="D44" s="162">
        <v>5</v>
      </c>
      <c r="E44" s="131" t="s">
        <v>227</v>
      </c>
      <c r="F44" s="159">
        <f>SUM(F45:F49)</f>
        <v>421112663</v>
      </c>
      <c r="G44" s="159">
        <f t="shared" ref="G44:P44" si="24">SUM(G45:G49)</f>
        <v>0</v>
      </c>
      <c r="H44" s="159">
        <f t="shared" si="24"/>
        <v>421112663</v>
      </c>
      <c r="I44" s="159">
        <f t="shared" si="24"/>
        <v>0</v>
      </c>
      <c r="J44" s="159">
        <f t="shared" si="24"/>
        <v>0</v>
      </c>
      <c r="K44" s="159">
        <f t="shared" si="24"/>
        <v>0</v>
      </c>
      <c r="L44" s="159">
        <f t="shared" si="24"/>
        <v>0</v>
      </c>
      <c r="M44" s="159">
        <f t="shared" si="24"/>
        <v>91846810.590000004</v>
      </c>
      <c r="N44" s="159">
        <f t="shared" si="24"/>
        <v>0</v>
      </c>
      <c r="O44" s="172">
        <f t="shared" si="24"/>
        <v>91846810.590000004</v>
      </c>
      <c r="P44" s="159">
        <f t="shared" si="24"/>
        <v>329265852.40999997</v>
      </c>
    </row>
    <row r="45" spans="1:18" ht="23.25" x14ac:dyDescent="0.25">
      <c r="A45" s="130"/>
      <c r="B45" s="125" t="s">
        <v>218</v>
      </c>
      <c r="C45" s="149"/>
      <c r="D45" s="163">
        <v>501</v>
      </c>
      <c r="E45" s="132" t="s">
        <v>228</v>
      </c>
      <c r="F45" s="164">
        <v>148676050</v>
      </c>
      <c r="G45" s="165"/>
      <c r="H45" s="165">
        <f>+F45+G45</f>
        <v>148676050</v>
      </c>
      <c r="I45" s="165"/>
      <c r="J45" s="165"/>
      <c r="K45" s="165"/>
      <c r="L45" s="165">
        <f t="shared" ref="L45:L49" si="25">+I45+J45+K45</f>
        <v>0</v>
      </c>
      <c r="M45" s="165">
        <v>36455025.729999997</v>
      </c>
      <c r="N45" s="165"/>
      <c r="O45" s="165">
        <f>+L45+M45</f>
        <v>36455025.729999997</v>
      </c>
      <c r="P45" s="165">
        <f t="shared" ref="P45:P49" si="26">+H45-O45-N45</f>
        <v>112221024.27000001</v>
      </c>
      <c r="Q45">
        <v>132721260.53</v>
      </c>
      <c r="R45">
        <f>+Q45-133222628.41</f>
        <v>-501367.87999999523</v>
      </c>
    </row>
    <row r="46" spans="1:18" ht="23.25" x14ac:dyDescent="0.25">
      <c r="A46" s="130"/>
      <c r="B46" s="125" t="s">
        <v>218</v>
      </c>
      <c r="C46" s="149"/>
      <c r="D46" s="163">
        <v>502</v>
      </c>
      <c r="E46" s="132" t="s">
        <v>229</v>
      </c>
      <c r="F46" s="164">
        <v>42478871</v>
      </c>
      <c r="G46" s="165"/>
      <c r="H46" s="165">
        <f>+F46+G46</f>
        <v>42478871</v>
      </c>
      <c r="I46" s="164"/>
      <c r="J46" s="164"/>
      <c r="K46" s="164"/>
      <c r="L46" s="165">
        <f t="shared" si="25"/>
        <v>0</v>
      </c>
      <c r="M46" s="164">
        <v>20900309.489999998</v>
      </c>
      <c r="N46" s="164"/>
      <c r="O46" s="165">
        <f>+L46+M46</f>
        <v>20900309.489999998</v>
      </c>
      <c r="P46" s="165">
        <f t="shared" si="26"/>
        <v>21578561.510000002</v>
      </c>
      <c r="Q46">
        <v>65102528.189999998</v>
      </c>
      <c r="R46">
        <f>+Q46-65389024.12</f>
        <v>-286495.9299999997</v>
      </c>
    </row>
    <row r="47" spans="1:18" ht="23.25" x14ac:dyDescent="0.25">
      <c r="A47" s="130"/>
      <c r="B47" s="125" t="s">
        <v>218</v>
      </c>
      <c r="C47" s="149"/>
      <c r="D47" s="163">
        <v>503</v>
      </c>
      <c r="E47" s="132" t="s">
        <v>230</v>
      </c>
      <c r="F47" s="164">
        <v>84957742</v>
      </c>
      <c r="G47" s="164"/>
      <c r="H47" s="165">
        <f>+F47+G47</f>
        <v>84957742</v>
      </c>
      <c r="I47" s="164"/>
      <c r="J47" s="164"/>
      <c r="K47" s="164"/>
      <c r="L47" s="165">
        <f t="shared" si="25"/>
        <v>0</v>
      </c>
      <c r="M47" s="164">
        <v>10553452.720000001</v>
      </c>
      <c r="N47" s="164"/>
      <c r="O47" s="165">
        <f>+L47+M47</f>
        <v>10553452.720000001</v>
      </c>
      <c r="P47" s="165">
        <f t="shared" si="26"/>
        <v>74404289.280000001</v>
      </c>
      <c r="Q47">
        <v>36496600.700000003</v>
      </c>
      <c r="R47">
        <f>+Q47-36639848.67</f>
        <v>-143247.96999999881</v>
      </c>
    </row>
    <row r="48" spans="1:18" ht="23.25" hidden="1" x14ac:dyDescent="0.25">
      <c r="A48" s="130"/>
      <c r="B48" s="125" t="s">
        <v>218</v>
      </c>
      <c r="C48" s="149"/>
      <c r="D48" s="163">
        <v>504</v>
      </c>
      <c r="E48" s="132" t="s">
        <v>231</v>
      </c>
      <c r="F48" s="164">
        <v>0</v>
      </c>
      <c r="G48" s="164">
        <v>0</v>
      </c>
      <c r="H48" s="165">
        <f>+F48+G48</f>
        <v>0</v>
      </c>
      <c r="I48" s="164"/>
      <c r="J48" s="164"/>
      <c r="K48" s="164"/>
      <c r="L48" s="165">
        <f t="shared" si="25"/>
        <v>0</v>
      </c>
      <c r="M48" s="164"/>
      <c r="N48" s="164"/>
      <c r="O48" s="165">
        <f>+L48+M48</f>
        <v>0</v>
      </c>
      <c r="P48" s="165">
        <f t="shared" si="26"/>
        <v>0</v>
      </c>
      <c r="Q48">
        <v>0</v>
      </c>
    </row>
    <row r="49" spans="1:18" ht="23.25" x14ac:dyDescent="0.25">
      <c r="A49" s="135"/>
      <c r="B49" s="125" t="s">
        <v>218</v>
      </c>
      <c r="C49" s="149"/>
      <c r="D49" s="163">
        <v>505</v>
      </c>
      <c r="E49" s="132" t="s">
        <v>232</v>
      </c>
      <c r="F49" s="164">
        <v>145000000</v>
      </c>
      <c r="G49" s="164"/>
      <c r="H49" s="165">
        <f>+F49+G49</f>
        <v>145000000</v>
      </c>
      <c r="I49" s="164"/>
      <c r="J49" s="164"/>
      <c r="K49" s="164"/>
      <c r="L49" s="165">
        <f t="shared" si="25"/>
        <v>0</v>
      </c>
      <c r="M49" s="164">
        <v>23938022.649999999</v>
      </c>
      <c r="N49" s="164"/>
      <c r="O49" s="165">
        <f>+L49+M49</f>
        <v>23938022.649999999</v>
      </c>
      <c r="P49" s="165">
        <f t="shared" si="26"/>
        <v>121061977.34999999</v>
      </c>
      <c r="Q49">
        <v>85401781.419999987</v>
      </c>
      <c r="R49">
        <f>+Q49-85434781.42</f>
        <v>-33000.000000014901</v>
      </c>
    </row>
    <row r="50" spans="1:18" x14ac:dyDescent="0.25">
      <c r="A50" s="134"/>
      <c r="B50" s="170"/>
      <c r="C50" s="171"/>
      <c r="D50" s="166"/>
      <c r="E50" s="132"/>
      <c r="F50" s="164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8" x14ac:dyDescent="0.25">
      <c r="A51" s="145" t="s">
        <v>233</v>
      </c>
      <c r="B51" s="125"/>
      <c r="C51" s="157">
        <f>+F52+F127+F171</f>
        <v>1789628069.75</v>
      </c>
      <c r="D51" s="134"/>
      <c r="E51" s="134"/>
      <c r="F51" s="161">
        <f>+F52+F127+F171</f>
        <v>1789628069.75</v>
      </c>
      <c r="G51" s="161">
        <f t="shared" ref="G51:P51" si="27">+G52+G127+G171</f>
        <v>0</v>
      </c>
      <c r="H51" s="161">
        <f t="shared" si="27"/>
        <v>1789628069.75</v>
      </c>
      <c r="I51" s="161">
        <f t="shared" si="27"/>
        <v>0</v>
      </c>
      <c r="J51" s="161">
        <f t="shared" si="27"/>
        <v>0</v>
      </c>
      <c r="K51" s="161">
        <f t="shared" si="27"/>
        <v>0</v>
      </c>
      <c r="L51" s="161">
        <f t="shared" ref="L51" si="28">+L52+L127+L171</f>
        <v>0</v>
      </c>
      <c r="M51" s="161">
        <f t="shared" si="27"/>
        <v>173256036.04000002</v>
      </c>
      <c r="N51" s="161">
        <f t="shared" si="27"/>
        <v>0</v>
      </c>
      <c r="O51" s="229">
        <f t="shared" si="27"/>
        <v>173256036.04000002</v>
      </c>
      <c r="P51" s="161">
        <f t="shared" si="27"/>
        <v>1616072033.71</v>
      </c>
    </row>
    <row r="52" spans="1:18" x14ac:dyDescent="0.25">
      <c r="A52" s="130"/>
      <c r="B52" s="134"/>
      <c r="C52" s="134"/>
      <c r="D52" s="158">
        <v>1</v>
      </c>
      <c r="E52" s="128" t="s">
        <v>80</v>
      </c>
      <c r="F52" s="159">
        <f t="shared" ref="F52:P52" si="29">(F54+F61+F68+F77+F86+F92+F97+F102+F121+F113)</f>
        <v>1595123059.75</v>
      </c>
      <c r="G52" s="172">
        <f t="shared" si="29"/>
        <v>0</v>
      </c>
      <c r="H52" s="172">
        <f t="shared" si="29"/>
        <v>1595123059.75</v>
      </c>
      <c r="I52" s="172">
        <f t="shared" si="29"/>
        <v>0</v>
      </c>
      <c r="J52" s="172">
        <f t="shared" si="29"/>
        <v>0</v>
      </c>
      <c r="K52" s="172">
        <f t="shared" si="29"/>
        <v>0</v>
      </c>
      <c r="L52" s="172">
        <f t="shared" ref="L52" si="30">(L54+L61+L68+L77+L86+L92+L97+L102+L121+L113)</f>
        <v>0</v>
      </c>
      <c r="M52" s="172">
        <f t="shared" si="29"/>
        <v>164192902.33000001</v>
      </c>
      <c r="N52" s="172">
        <f t="shared" si="29"/>
        <v>0</v>
      </c>
      <c r="O52" s="172">
        <f t="shared" si="29"/>
        <v>164192902.33000001</v>
      </c>
      <c r="P52" s="172">
        <f t="shared" si="29"/>
        <v>1430630157.4200001</v>
      </c>
    </row>
    <row r="53" spans="1:18" x14ac:dyDescent="0.25">
      <c r="A53" s="130"/>
      <c r="B53" s="125"/>
      <c r="C53" s="157"/>
      <c r="D53" s="163"/>
      <c r="E53" s="132"/>
      <c r="F53" s="164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8" x14ac:dyDescent="0.25">
      <c r="A54" s="130"/>
      <c r="B54" s="125" t="s">
        <v>234</v>
      </c>
      <c r="C54" s="157"/>
      <c r="D54" s="162">
        <v>101</v>
      </c>
      <c r="E54" s="131" t="s">
        <v>235</v>
      </c>
      <c r="F54" s="159">
        <f>SUM(F55:F59)</f>
        <v>26000000</v>
      </c>
      <c r="G54" s="172">
        <f t="shared" ref="G54:P54" si="31">(G55+G56+G57+G58+G59)</f>
        <v>0</v>
      </c>
      <c r="H54" s="172">
        <f t="shared" si="31"/>
        <v>26000000</v>
      </c>
      <c r="I54" s="172">
        <f t="shared" si="31"/>
        <v>0</v>
      </c>
      <c r="J54" s="172">
        <f t="shared" si="31"/>
        <v>0</v>
      </c>
      <c r="K54" s="172">
        <f t="shared" si="31"/>
        <v>0</v>
      </c>
      <c r="L54" s="172">
        <f t="shared" ref="L54" si="32">(L55+L56+L57+L58+L59)</f>
        <v>0</v>
      </c>
      <c r="M54" s="172">
        <f>(M55+M56+M57+M58+M59)</f>
        <v>804142.83</v>
      </c>
      <c r="N54" s="172">
        <f>(N55+N56+N57+N58+N59)</f>
        <v>0</v>
      </c>
      <c r="O54" s="172">
        <f t="shared" si="31"/>
        <v>804142.83</v>
      </c>
      <c r="P54" s="172">
        <f t="shared" si="31"/>
        <v>25195857.170000002</v>
      </c>
    </row>
    <row r="55" spans="1:18" ht="23.25" x14ac:dyDescent="0.25">
      <c r="A55" s="130"/>
      <c r="B55" s="125" t="s">
        <v>234</v>
      </c>
      <c r="C55" s="149"/>
      <c r="D55" s="163">
        <v>10101</v>
      </c>
      <c r="E55" s="132" t="s">
        <v>236</v>
      </c>
      <c r="F55" s="164">
        <v>0</v>
      </c>
      <c r="G55" s="164">
        <v>0</v>
      </c>
      <c r="H55" s="165">
        <f>+F55+G55</f>
        <v>0</v>
      </c>
      <c r="I55" s="164">
        <v>0</v>
      </c>
      <c r="J55" s="164">
        <v>0</v>
      </c>
      <c r="K55" s="164">
        <v>0</v>
      </c>
      <c r="L55" s="165">
        <f t="shared" ref="L55:L59" si="33">+I55+J55+K55</f>
        <v>0</v>
      </c>
      <c r="M55" s="164">
        <v>0</v>
      </c>
      <c r="N55" s="164"/>
      <c r="O55" s="165">
        <f>+L55+M55</f>
        <v>0</v>
      </c>
      <c r="P55" s="165">
        <f>+H55-O55</f>
        <v>0</v>
      </c>
    </row>
    <row r="56" spans="1:18" ht="23.25" x14ac:dyDescent="0.25">
      <c r="A56" s="130"/>
      <c r="B56" s="125" t="s">
        <v>234</v>
      </c>
      <c r="C56" s="149"/>
      <c r="D56" s="163">
        <v>10102</v>
      </c>
      <c r="E56" s="132" t="s">
        <v>237</v>
      </c>
      <c r="F56" s="164">
        <v>5000000</v>
      </c>
      <c r="G56" s="164"/>
      <c r="H56" s="165">
        <f>+F56+G56</f>
        <v>5000000</v>
      </c>
      <c r="I56" s="164"/>
      <c r="J56" s="164"/>
      <c r="K56" s="164"/>
      <c r="L56" s="165">
        <f t="shared" si="33"/>
        <v>0</v>
      </c>
      <c r="M56" s="164"/>
      <c r="N56" s="164"/>
      <c r="O56" s="165">
        <f>+L56+M56</f>
        <v>0</v>
      </c>
      <c r="P56" s="165">
        <f t="shared" ref="P56:P59" si="34">+H56-O56-N56</f>
        <v>5000000</v>
      </c>
    </row>
    <row r="57" spans="1:18" x14ac:dyDescent="0.25">
      <c r="A57" s="130"/>
      <c r="B57" s="125" t="s">
        <v>234</v>
      </c>
      <c r="C57" s="149"/>
      <c r="D57" s="163">
        <v>10103</v>
      </c>
      <c r="E57" s="132" t="s">
        <v>238</v>
      </c>
      <c r="F57" s="164">
        <v>21000000</v>
      </c>
      <c r="G57" s="164"/>
      <c r="H57" s="165">
        <f>+F57+G57</f>
        <v>21000000</v>
      </c>
      <c r="I57" s="164">
        <v>0</v>
      </c>
      <c r="J57" s="164">
        <v>0</v>
      </c>
      <c r="K57" s="164">
        <v>0</v>
      </c>
      <c r="L57" s="165">
        <f t="shared" si="33"/>
        <v>0</v>
      </c>
      <c r="M57" s="164">
        <v>804142.83</v>
      </c>
      <c r="N57" s="164"/>
      <c r="O57" s="165">
        <f>+L57+M57</f>
        <v>804142.83</v>
      </c>
      <c r="P57" s="165">
        <f t="shared" si="34"/>
        <v>20195857.170000002</v>
      </c>
    </row>
    <row r="58" spans="1:18" ht="23.25" x14ac:dyDescent="0.25">
      <c r="A58" s="130"/>
      <c r="B58" s="125" t="s">
        <v>234</v>
      </c>
      <c r="C58" s="149"/>
      <c r="D58" s="163">
        <v>10104</v>
      </c>
      <c r="E58" s="132" t="s">
        <v>239</v>
      </c>
      <c r="F58" s="164">
        <v>0</v>
      </c>
      <c r="G58" s="164"/>
      <c r="H58" s="165">
        <f>+F58+G58</f>
        <v>0</v>
      </c>
      <c r="I58" s="164">
        <v>0</v>
      </c>
      <c r="J58" s="164">
        <v>0</v>
      </c>
      <c r="K58" s="164">
        <v>0</v>
      </c>
      <c r="L58" s="165">
        <f t="shared" si="33"/>
        <v>0</v>
      </c>
      <c r="M58" s="164">
        <v>0</v>
      </c>
      <c r="N58" s="164"/>
      <c r="O58" s="165">
        <f>+L58+M58</f>
        <v>0</v>
      </c>
      <c r="P58" s="165">
        <f t="shared" si="34"/>
        <v>0</v>
      </c>
    </row>
    <row r="59" spans="1:18" ht="13.5" customHeight="1" x14ac:dyDescent="0.25">
      <c r="A59" s="130"/>
      <c r="B59" s="125" t="s">
        <v>234</v>
      </c>
      <c r="C59" s="149"/>
      <c r="D59" s="163">
        <v>10199</v>
      </c>
      <c r="E59" s="132" t="s">
        <v>240</v>
      </c>
      <c r="F59" s="164"/>
      <c r="G59" s="164"/>
      <c r="H59" s="165">
        <f>+F59+G59</f>
        <v>0</v>
      </c>
      <c r="I59" s="165"/>
      <c r="J59" s="165">
        <v>0</v>
      </c>
      <c r="K59" s="165">
        <v>0</v>
      </c>
      <c r="L59" s="165">
        <f t="shared" si="33"/>
        <v>0</v>
      </c>
      <c r="M59" s="164">
        <v>0</v>
      </c>
      <c r="N59" s="164"/>
      <c r="O59" s="165">
        <f>+L59+M59</f>
        <v>0</v>
      </c>
      <c r="P59" s="165">
        <f t="shared" si="34"/>
        <v>0</v>
      </c>
    </row>
    <row r="60" spans="1:18" x14ac:dyDescent="0.25">
      <c r="A60" s="130"/>
      <c r="B60" s="125"/>
      <c r="C60" s="149"/>
      <c r="D60" s="163"/>
      <c r="E60" s="132"/>
      <c r="F60" s="164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8" x14ac:dyDescent="0.25">
      <c r="A61" s="130"/>
      <c r="B61" s="125" t="s">
        <v>234</v>
      </c>
      <c r="C61" s="157"/>
      <c r="D61" s="162">
        <v>102</v>
      </c>
      <c r="E61" s="131" t="s">
        <v>241</v>
      </c>
      <c r="F61" s="159">
        <f>SUM(F62:F66)</f>
        <v>535433320.5</v>
      </c>
      <c r="G61" s="172">
        <f t="shared" ref="G61:P61" si="35">(G62+G63+G64+G65+G66)</f>
        <v>0</v>
      </c>
      <c r="H61" s="172">
        <f t="shared" si="35"/>
        <v>535433320.5</v>
      </c>
      <c r="I61" s="172">
        <f t="shared" si="35"/>
        <v>0</v>
      </c>
      <c r="J61" s="172">
        <f t="shared" si="35"/>
        <v>0</v>
      </c>
      <c r="K61" s="172">
        <f t="shared" si="35"/>
        <v>0</v>
      </c>
      <c r="L61" s="172">
        <f t="shared" ref="L61" si="36">(L62+L63+L64+L65+L66)</f>
        <v>0</v>
      </c>
      <c r="M61" s="172">
        <f t="shared" si="35"/>
        <v>62093121.82</v>
      </c>
      <c r="N61" s="172">
        <f t="shared" si="35"/>
        <v>0</v>
      </c>
      <c r="O61" s="172">
        <f t="shared" si="35"/>
        <v>62093121.82</v>
      </c>
      <c r="P61" s="172">
        <f t="shared" si="35"/>
        <v>473340198.68000001</v>
      </c>
    </row>
    <row r="62" spans="1:18" x14ac:dyDescent="0.25">
      <c r="A62" s="130"/>
      <c r="B62" s="125" t="s">
        <v>234</v>
      </c>
      <c r="C62" s="149"/>
      <c r="D62" s="163">
        <v>10201</v>
      </c>
      <c r="E62" s="136" t="s">
        <v>242</v>
      </c>
      <c r="F62" s="164">
        <v>37800000</v>
      </c>
      <c r="G62" s="164">
        <v>0</v>
      </c>
      <c r="H62" s="165">
        <f>+F62+G62</f>
        <v>37800000</v>
      </c>
      <c r="I62" s="164"/>
      <c r="J62" s="164"/>
      <c r="K62" s="164"/>
      <c r="L62" s="165">
        <f t="shared" ref="L62:L66" si="37">+I62+J62+K62</f>
        <v>0</v>
      </c>
      <c r="M62" s="164">
        <v>3933770</v>
      </c>
      <c r="N62" s="164"/>
      <c r="O62" s="165">
        <f>+L62+M62</f>
        <v>3933770</v>
      </c>
      <c r="P62" s="165">
        <f t="shared" ref="P62:P65" si="38">+H62-O62-N62</f>
        <v>33866230</v>
      </c>
    </row>
    <row r="63" spans="1:18" x14ac:dyDescent="0.25">
      <c r="A63" s="130"/>
      <c r="B63" s="125" t="s">
        <v>234</v>
      </c>
      <c r="C63" s="149"/>
      <c r="D63" s="163">
        <v>10202</v>
      </c>
      <c r="E63" s="132" t="s">
        <v>243</v>
      </c>
      <c r="F63" s="164">
        <v>50400000</v>
      </c>
      <c r="G63" s="164">
        <v>0</v>
      </c>
      <c r="H63" s="165">
        <f>+F63+G63</f>
        <v>50400000</v>
      </c>
      <c r="I63" s="164"/>
      <c r="J63" s="164"/>
      <c r="K63" s="164"/>
      <c r="L63" s="165">
        <f t="shared" si="37"/>
        <v>0</v>
      </c>
      <c r="M63" s="164">
        <v>12931621.619999999</v>
      </c>
      <c r="N63" s="164"/>
      <c r="O63" s="165">
        <f>+L63+M63</f>
        <v>12931621.619999999</v>
      </c>
      <c r="P63" s="165">
        <f t="shared" si="38"/>
        <v>37468378.380000003</v>
      </c>
    </row>
    <row r="64" spans="1:18" x14ac:dyDescent="0.25">
      <c r="A64" s="130"/>
      <c r="B64" s="125" t="s">
        <v>234</v>
      </c>
      <c r="C64" s="149"/>
      <c r="D64" s="163">
        <v>10203</v>
      </c>
      <c r="E64" s="132" t="s">
        <v>244</v>
      </c>
      <c r="F64" s="164">
        <v>0</v>
      </c>
      <c r="G64" s="164">
        <v>0</v>
      </c>
      <c r="H64" s="165">
        <f>+F64+G64</f>
        <v>0</v>
      </c>
      <c r="I64" s="164">
        <v>0</v>
      </c>
      <c r="J64" s="164">
        <v>0</v>
      </c>
      <c r="K64" s="164">
        <v>0</v>
      </c>
      <c r="L64" s="165">
        <f t="shared" si="37"/>
        <v>0</v>
      </c>
      <c r="M64" s="164"/>
      <c r="N64" s="164"/>
      <c r="O64" s="165">
        <f>+L64+M64</f>
        <v>0</v>
      </c>
      <c r="P64" s="165">
        <f t="shared" si="38"/>
        <v>0</v>
      </c>
    </row>
    <row r="65" spans="1:16" x14ac:dyDescent="0.25">
      <c r="A65" s="130"/>
      <c r="B65" s="125" t="s">
        <v>234</v>
      </c>
      <c r="C65" s="149"/>
      <c r="D65" s="163">
        <v>10204</v>
      </c>
      <c r="E65" s="132" t="s">
        <v>245</v>
      </c>
      <c r="F65" s="164">
        <v>447233320.5</v>
      </c>
      <c r="G65" s="164"/>
      <c r="H65" s="165">
        <f>+F65+G65</f>
        <v>447233320.5</v>
      </c>
      <c r="I65" s="164"/>
      <c r="J65" s="164"/>
      <c r="K65" s="164"/>
      <c r="L65" s="165">
        <f t="shared" si="37"/>
        <v>0</v>
      </c>
      <c r="M65" s="164">
        <v>45227730.200000003</v>
      </c>
      <c r="N65" s="164"/>
      <c r="O65" s="165">
        <f>+L65+M65</f>
        <v>45227730.200000003</v>
      </c>
      <c r="P65" s="165">
        <f t="shared" si="38"/>
        <v>402005590.30000001</v>
      </c>
    </row>
    <row r="66" spans="1:16" x14ac:dyDescent="0.25">
      <c r="A66" s="130"/>
      <c r="B66" s="125" t="s">
        <v>234</v>
      </c>
      <c r="C66" s="149"/>
      <c r="D66" s="163">
        <v>10299</v>
      </c>
      <c r="E66" s="132" t="s">
        <v>246</v>
      </c>
      <c r="F66" s="164">
        <v>0</v>
      </c>
      <c r="G66" s="164">
        <v>0</v>
      </c>
      <c r="H66" s="165">
        <v>0</v>
      </c>
      <c r="I66" s="165"/>
      <c r="J66" s="165">
        <v>0</v>
      </c>
      <c r="K66" s="165">
        <v>0</v>
      </c>
      <c r="L66" s="165">
        <f t="shared" si="37"/>
        <v>0</v>
      </c>
      <c r="M66" s="164">
        <v>0</v>
      </c>
      <c r="N66" s="164"/>
      <c r="O66" s="165">
        <v>0</v>
      </c>
      <c r="P66" s="165">
        <v>0</v>
      </c>
    </row>
    <row r="67" spans="1:16" x14ac:dyDescent="0.25">
      <c r="A67" s="130"/>
      <c r="B67" s="125"/>
      <c r="C67" s="149"/>
      <c r="D67" s="163"/>
      <c r="E67" s="132"/>
      <c r="F67" s="164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23.25" x14ac:dyDescent="0.25">
      <c r="A68" s="130"/>
      <c r="B68" s="125" t="s">
        <v>234</v>
      </c>
      <c r="C68" s="157"/>
      <c r="D68" s="162">
        <v>103</v>
      </c>
      <c r="E68" s="131" t="s">
        <v>247</v>
      </c>
      <c r="F68" s="159">
        <f>SUM(F69:F75)</f>
        <v>19111539.600000001</v>
      </c>
      <c r="G68" s="172">
        <f t="shared" ref="G68:P68" si="39">(G69+G70+G71+G72+G73+G74+G75)</f>
        <v>0</v>
      </c>
      <c r="H68" s="172">
        <f t="shared" si="39"/>
        <v>19111539.600000001</v>
      </c>
      <c r="I68" s="172">
        <f t="shared" si="39"/>
        <v>0</v>
      </c>
      <c r="J68" s="172">
        <f t="shared" si="39"/>
        <v>0</v>
      </c>
      <c r="K68" s="172">
        <f t="shared" si="39"/>
        <v>0</v>
      </c>
      <c r="L68" s="172">
        <f t="shared" ref="L68" si="40">(L69+L70+L71+L72+L73+L74+L75)</f>
        <v>0</v>
      </c>
      <c r="M68" s="172">
        <f t="shared" si="39"/>
        <v>447964.13</v>
      </c>
      <c r="N68" s="172">
        <f t="shared" si="39"/>
        <v>0</v>
      </c>
      <c r="O68" s="172">
        <f t="shared" si="39"/>
        <v>447964.13</v>
      </c>
      <c r="P68" s="172">
        <f t="shared" si="39"/>
        <v>18663575.470000003</v>
      </c>
    </row>
    <row r="69" spans="1:16" x14ac:dyDescent="0.25">
      <c r="A69" s="130"/>
      <c r="B69" s="125" t="s">
        <v>234</v>
      </c>
      <c r="C69" s="149"/>
      <c r="D69" s="163">
        <v>10301</v>
      </c>
      <c r="E69" s="132" t="s">
        <v>248</v>
      </c>
      <c r="F69" s="164">
        <v>5412500</v>
      </c>
      <c r="G69" s="164"/>
      <c r="H69" s="165">
        <f t="shared" ref="H69:H75" si="41">+F69+G69</f>
        <v>5412500</v>
      </c>
      <c r="I69" s="164"/>
      <c r="J69" s="164"/>
      <c r="K69" s="164"/>
      <c r="L69" s="165">
        <f t="shared" ref="L69:L75" si="42">+I69+J69+K69</f>
        <v>0</v>
      </c>
      <c r="M69" s="164">
        <v>16140</v>
      </c>
      <c r="N69" s="164"/>
      <c r="O69" s="165">
        <f t="shared" ref="O69:O75" si="43">+L69+M69</f>
        <v>16140</v>
      </c>
      <c r="P69" s="165">
        <f t="shared" ref="P69:P75" si="44">+H69-O69-N69</f>
        <v>5396360</v>
      </c>
    </row>
    <row r="70" spans="1:16" hidden="1" x14ac:dyDescent="0.25">
      <c r="A70" s="130"/>
      <c r="B70" s="125" t="s">
        <v>234</v>
      </c>
      <c r="C70" s="149"/>
      <c r="D70" s="163">
        <v>10302</v>
      </c>
      <c r="E70" s="132" t="s">
        <v>249</v>
      </c>
      <c r="F70" s="164">
        <v>0</v>
      </c>
      <c r="G70" s="164">
        <v>0</v>
      </c>
      <c r="H70" s="165">
        <f t="shared" si="41"/>
        <v>0</v>
      </c>
      <c r="I70" s="164"/>
      <c r="J70" s="164"/>
      <c r="K70" s="164"/>
      <c r="L70" s="165">
        <f t="shared" si="42"/>
        <v>0</v>
      </c>
      <c r="M70" s="164"/>
      <c r="N70" s="164"/>
      <c r="O70" s="165">
        <f t="shared" si="43"/>
        <v>0</v>
      </c>
      <c r="P70" s="165">
        <f t="shared" si="44"/>
        <v>0</v>
      </c>
    </row>
    <row r="71" spans="1:16" x14ac:dyDescent="0.25">
      <c r="A71" s="130"/>
      <c r="B71" s="125" t="s">
        <v>234</v>
      </c>
      <c r="C71" s="149"/>
      <c r="D71" s="163">
        <v>10303</v>
      </c>
      <c r="E71" s="132" t="s">
        <v>250</v>
      </c>
      <c r="F71" s="164">
        <v>11435423.6</v>
      </c>
      <c r="G71" s="164"/>
      <c r="H71" s="165">
        <f t="shared" si="41"/>
        <v>11435423.6</v>
      </c>
      <c r="I71" s="164"/>
      <c r="J71" s="164"/>
      <c r="K71" s="164"/>
      <c r="L71" s="165">
        <f t="shared" si="42"/>
        <v>0</v>
      </c>
      <c r="M71" s="164"/>
      <c r="N71" s="164"/>
      <c r="O71" s="165">
        <f t="shared" si="43"/>
        <v>0</v>
      </c>
      <c r="P71" s="165">
        <f t="shared" si="44"/>
        <v>11435423.6</v>
      </c>
    </row>
    <row r="72" spans="1:16" x14ac:dyDescent="0.25">
      <c r="A72" s="130"/>
      <c r="B72" s="125" t="s">
        <v>234</v>
      </c>
      <c r="C72" s="149"/>
      <c r="D72" s="163">
        <v>10304</v>
      </c>
      <c r="E72" s="132" t="s">
        <v>251</v>
      </c>
      <c r="F72" s="164">
        <v>500000</v>
      </c>
      <c r="G72" s="164">
        <v>0</v>
      </c>
      <c r="H72" s="165">
        <f t="shared" si="41"/>
        <v>500000</v>
      </c>
      <c r="I72" s="164"/>
      <c r="J72" s="164"/>
      <c r="K72" s="164"/>
      <c r="L72" s="165">
        <f t="shared" si="42"/>
        <v>0</v>
      </c>
      <c r="M72" s="164"/>
      <c r="N72" s="164"/>
      <c r="O72" s="165">
        <f t="shared" si="43"/>
        <v>0</v>
      </c>
      <c r="P72" s="165">
        <f t="shared" si="44"/>
        <v>500000</v>
      </c>
    </row>
    <row r="73" spans="1:16" hidden="1" x14ac:dyDescent="0.25">
      <c r="A73" s="130"/>
      <c r="B73" s="125" t="s">
        <v>234</v>
      </c>
      <c r="C73" s="149"/>
      <c r="D73" s="163">
        <v>10305</v>
      </c>
      <c r="E73" s="132" t="s">
        <v>252</v>
      </c>
      <c r="F73" s="164">
        <v>0</v>
      </c>
      <c r="G73" s="164">
        <v>0</v>
      </c>
      <c r="H73" s="165">
        <f t="shared" si="41"/>
        <v>0</v>
      </c>
      <c r="I73" s="164"/>
      <c r="J73" s="164"/>
      <c r="K73" s="164"/>
      <c r="L73" s="165">
        <f t="shared" si="42"/>
        <v>0</v>
      </c>
      <c r="M73" s="164"/>
      <c r="N73" s="164"/>
      <c r="O73" s="165">
        <f t="shared" si="43"/>
        <v>0</v>
      </c>
      <c r="P73" s="165">
        <f t="shared" si="44"/>
        <v>0</v>
      </c>
    </row>
    <row r="74" spans="1:16" ht="23.25" x14ac:dyDescent="0.25">
      <c r="A74" s="130"/>
      <c r="B74" s="125" t="s">
        <v>234</v>
      </c>
      <c r="C74" s="149"/>
      <c r="D74" s="163">
        <v>10306</v>
      </c>
      <c r="E74" s="132" t="s">
        <v>253</v>
      </c>
      <c r="F74" s="164">
        <v>1013616</v>
      </c>
      <c r="G74" s="164">
        <v>0</v>
      </c>
      <c r="H74" s="165">
        <f t="shared" si="41"/>
        <v>1013616</v>
      </c>
      <c r="I74" s="164"/>
      <c r="J74" s="164"/>
      <c r="K74" s="164"/>
      <c r="L74" s="165">
        <f t="shared" si="42"/>
        <v>0</v>
      </c>
      <c r="M74" s="164">
        <v>431824.13</v>
      </c>
      <c r="N74" s="164"/>
      <c r="O74" s="165">
        <f t="shared" si="43"/>
        <v>431824.13</v>
      </c>
      <c r="P74" s="165">
        <f t="shared" si="44"/>
        <v>581791.87</v>
      </c>
    </row>
    <row r="75" spans="1:16" ht="23.25" x14ac:dyDescent="0.25">
      <c r="A75" s="130"/>
      <c r="B75" s="125" t="s">
        <v>234</v>
      </c>
      <c r="C75" s="149"/>
      <c r="D75" s="163">
        <v>10307</v>
      </c>
      <c r="E75" s="132" t="s">
        <v>254</v>
      </c>
      <c r="F75" s="164">
        <v>750000</v>
      </c>
      <c r="G75" s="164">
        <v>0</v>
      </c>
      <c r="H75" s="165">
        <f t="shared" si="41"/>
        <v>750000</v>
      </c>
      <c r="I75" s="165"/>
      <c r="J75" s="165"/>
      <c r="K75" s="165"/>
      <c r="L75" s="165">
        <f t="shared" si="42"/>
        <v>0</v>
      </c>
      <c r="M75" s="165"/>
      <c r="N75" s="165"/>
      <c r="O75" s="165">
        <f t="shared" si="43"/>
        <v>0</v>
      </c>
      <c r="P75" s="165">
        <f t="shared" si="44"/>
        <v>750000</v>
      </c>
    </row>
    <row r="76" spans="1:16" x14ac:dyDescent="0.25">
      <c r="A76" s="130"/>
      <c r="B76" s="125"/>
      <c r="C76" s="149"/>
      <c r="D76" s="163"/>
      <c r="E76" s="132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x14ac:dyDescent="0.25">
      <c r="A77" s="130"/>
      <c r="B77" s="125" t="s">
        <v>234</v>
      </c>
      <c r="C77" s="157"/>
      <c r="D77" s="162">
        <v>104</v>
      </c>
      <c r="E77" s="131" t="s">
        <v>255</v>
      </c>
      <c r="F77" s="159">
        <f>SUM(F78:F84)</f>
        <v>655792611.62</v>
      </c>
      <c r="G77" s="172">
        <f t="shared" ref="G77:P77" si="45">(G78+G79+G80+G81+G82+G83+G84)</f>
        <v>0</v>
      </c>
      <c r="H77" s="172">
        <f t="shared" si="45"/>
        <v>655792611.62</v>
      </c>
      <c r="I77" s="172">
        <f t="shared" si="45"/>
        <v>0</v>
      </c>
      <c r="J77" s="172">
        <f t="shared" si="45"/>
        <v>0</v>
      </c>
      <c r="K77" s="172">
        <f t="shared" si="45"/>
        <v>0</v>
      </c>
      <c r="L77" s="172">
        <f t="shared" ref="L77" si="46">(L78+L79+L80+L81+L82+L83+L84)</f>
        <v>0</v>
      </c>
      <c r="M77" s="172">
        <f t="shared" si="45"/>
        <v>44013461.890000001</v>
      </c>
      <c r="N77" s="172">
        <f t="shared" si="45"/>
        <v>0</v>
      </c>
      <c r="O77" s="172">
        <f t="shared" si="45"/>
        <v>44013461.890000001</v>
      </c>
      <c r="P77" s="172">
        <f t="shared" si="45"/>
        <v>611779149.73000002</v>
      </c>
    </row>
    <row r="78" spans="1:16" x14ac:dyDescent="0.25">
      <c r="A78" s="130"/>
      <c r="B78" s="125" t="s">
        <v>234</v>
      </c>
      <c r="C78" s="149"/>
      <c r="D78" s="163">
        <v>10401</v>
      </c>
      <c r="E78" s="132" t="s">
        <v>256</v>
      </c>
      <c r="F78" s="164">
        <v>0</v>
      </c>
      <c r="G78" s="164">
        <v>0</v>
      </c>
      <c r="H78" s="165">
        <v>0</v>
      </c>
      <c r="I78" s="164">
        <v>0</v>
      </c>
      <c r="J78" s="164">
        <v>0</v>
      </c>
      <c r="K78" s="164">
        <v>0</v>
      </c>
      <c r="L78" s="165">
        <f t="shared" ref="L78:L84" si="47">+I78+J78+K78</f>
        <v>0</v>
      </c>
      <c r="M78" s="164"/>
      <c r="N78" s="164"/>
      <c r="O78" s="165">
        <v>0</v>
      </c>
      <c r="P78" s="165">
        <f t="shared" ref="P78:P84" si="48">+H78-O78-N78</f>
        <v>0</v>
      </c>
    </row>
    <row r="79" spans="1:16" x14ac:dyDescent="0.25">
      <c r="A79" s="130"/>
      <c r="B79" s="125" t="s">
        <v>234</v>
      </c>
      <c r="C79" s="149"/>
      <c r="D79" s="163">
        <v>10402</v>
      </c>
      <c r="E79" s="132" t="s">
        <v>257</v>
      </c>
      <c r="F79" s="164">
        <v>7000000</v>
      </c>
      <c r="G79" s="164">
        <v>0</v>
      </c>
      <c r="H79" s="165">
        <f t="shared" ref="H79:H84" si="49">+F79+G79</f>
        <v>7000000</v>
      </c>
      <c r="I79" s="164">
        <v>0</v>
      </c>
      <c r="J79" s="164">
        <v>0</v>
      </c>
      <c r="K79" s="164">
        <v>0</v>
      </c>
      <c r="L79" s="165">
        <f t="shared" si="47"/>
        <v>0</v>
      </c>
      <c r="M79" s="164"/>
      <c r="N79" s="164"/>
      <c r="O79" s="165">
        <f t="shared" ref="O79:O84" si="50">+L79+M79</f>
        <v>0</v>
      </c>
      <c r="P79" s="165">
        <f t="shared" si="48"/>
        <v>7000000</v>
      </c>
    </row>
    <row r="80" spans="1:16" ht="23.25" x14ac:dyDescent="0.25">
      <c r="A80" s="130"/>
      <c r="B80" s="125" t="s">
        <v>234</v>
      </c>
      <c r="C80" s="149"/>
      <c r="D80" s="163">
        <v>10403</v>
      </c>
      <c r="E80" s="132" t="s">
        <v>258</v>
      </c>
      <c r="F80" s="164">
        <v>50805901.140000001</v>
      </c>
      <c r="G80" s="164"/>
      <c r="H80" s="165">
        <f t="shared" si="49"/>
        <v>50805901.140000001</v>
      </c>
      <c r="I80" s="164"/>
      <c r="J80" s="164"/>
      <c r="K80" s="164"/>
      <c r="L80" s="165">
        <f t="shared" si="47"/>
        <v>0</v>
      </c>
      <c r="M80" s="164">
        <v>1965831.73</v>
      </c>
      <c r="N80" s="164"/>
      <c r="O80" s="165">
        <f t="shared" si="50"/>
        <v>1965831.73</v>
      </c>
      <c r="P80" s="165">
        <f t="shared" si="48"/>
        <v>48840069.410000004</v>
      </c>
    </row>
    <row r="81" spans="1:16" ht="23.25" x14ac:dyDescent="0.25">
      <c r="A81" s="130"/>
      <c r="B81" s="125" t="s">
        <v>234</v>
      </c>
      <c r="C81" s="149"/>
      <c r="D81" s="163">
        <v>10404</v>
      </c>
      <c r="E81" s="132" t="s">
        <v>259</v>
      </c>
      <c r="F81" s="164">
        <v>7910000</v>
      </c>
      <c r="G81" s="164"/>
      <c r="H81" s="165">
        <f t="shared" si="49"/>
        <v>7910000</v>
      </c>
      <c r="I81" s="164"/>
      <c r="J81" s="164"/>
      <c r="K81" s="164"/>
      <c r="L81" s="165">
        <f t="shared" si="47"/>
        <v>0</v>
      </c>
      <c r="M81" s="164"/>
      <c r="N81" s="164"/>
      <c r="O81" s="165">
        <f t="shared" si="50"/>
        <v>0</v>
      </c>
      <c r="P81" s="165">
        <f t="shared" si="48"/>
        <v>7910000</v>
      </c>
    </row>
    <row r="82" spans="1:16" x14ac:dyDescent="0.25">
      <c r="A82" s="130"/>
      <c r="B82" s="125" t="s">
        <v>234</v>
      </c>
      <c r="C82" s="149"/>
      <c r="D82" s="163">
        <v>10405</v>
      </c>
      <c r="E82" s="132" t="s">
        <v>260</v>
      </c>
      <c r="F82" s="164">
        <v>0</v>
      </c>
      <c r="G82" s="164">
        <v>0</v>
      </c>
      <c r="H82" s="165">
        <f t="shared" si="49"/>
        <v>0</v>
      </c>
      <c r="I82" s="164"/>
      <c r="J82" s="164"/>
      <c r="K82" s="164"/>
      <c r="L82" s="165">
        <f t="shared" si="47"/>
        <v>0</v>
      </c>
      <c r="M82" s="164"/>
      <c r="N82" s="164"/>
      <c r="O82" s="165">
        <f t="shared" si="50"/>
        <v>0</v>
      </c>
      <c r="P82" s="165">
        <f t="shared" si="48"/>
        <v>0</v>
      </c>
    </row>
    <row r="83" spans="1:16" x14ac:dyDescent="0.25">
      <c r="A83" s="130"/>
      <c r="B83" s="125" t="s">
        <v>234</v>
      </c>
      <c r="C83" s="149"/>
      <c r="D83" s="163">
        <v>10406</v>
      </c>
      <c r="E83" s="132" t="s">
        <v>261</v>
      </c>
      <c r="F83" s="164">
        <v>384908333</v>
      </c>
      <c r="G83" s="164"/>
      <c r="H83" s="165">
        <f t="shared" si="49"/>
        <v>384908333</v>
      </c>
      <c r="I83" s="164"/>
      <c r="J83" s="164"/>
      <c r="K83" s="164"/>
      <c r="L83" s="165">
        <f t="shared" si="47"/>
        <v>0</v>
      </c>
      <c r="M83" s="164">
        <v>33918654.420000002</v>
      </c>
      <c r="N83" s="164"/>
      <c r="O83" s="165">
        <f t="shared" si="50"/>
        <v>33918654.420000002</v>
      </c>
      <c r="P83" s="165">
        <f t="shared" si="48"/>
        <v>350989678.57999998</v>
      </c>
    </row>
    <row r="84" spans="1:16" x14ac:dyDescent="0.25">
      <c r="A84" s="130"/>
      <c r="B84" s="125" t="s">
        <v>234</v>
      </c>
      <c r="C84" s="149"/>
      <c r="D84" s="163">
        <v>10499</v>
      </c>
      <c r="E84" s="132" t="s">
        <v>262</v>
      </c>
      <c r="F84" s="164">
        <v>205168377.47999999</v>
      </c>
      <c r="G84" s="164"/>
      <c r="H84" s="165">
        <f t="shared" si="49"/>
        <v>205168377.47999999</v>
      </c>
      <c r="I84" s="164"/>
      <c r="J84" s="164"/>
      <c r="K84" s="164"/>
      <c r="L84" s="165">
        <f t="shared" si="47"/>
        <v>0</v>
      </c>
      <c r="M84" s="164">
        <v>8128975.7400000002</v>
      </c>
      <c r="N84" s="164"/>
      <c r="O84" s="165">
        <f t="shared" si="50"/>
        <v>8128975.7400000002</v>
      </c>
      <c r="P84" s="165">
        <f t="shared" si="48"/>
        <v>197039401.73999998</v>
      </c>
    </row>
    <row r="85" spans="1:16" x14ac:dyDescent="0.25">
      <c r="A85" s="130"/>
      <c r="B85" s="125"/>
      <c r="C85" s="149"/>
      <c r="D85" s="163"/>
      <c r="E85" s="132"/>
      <c r="F85" s="164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16" x14ac:dyDescent="0.25">
      <c r="A86" s="130"/>
      <c r="B86" s="125" t="s">
        <v>234</v>
      </c>
      <c r="C86" s="157"/>
      <c r="D86" s="162">
        <v>105</v>
      </c>
      <c r="E86" s="131" t="s">
        <v>263</v>
      </c>
      <c r="F86" s="159">
        <f>SUM(F87:F90)</f>
        <v>40792300</v>
      </c>
      <c r="G86" s="172">
        <f t="shared" ref="G86:P86" si="51">(G87+G88+G89+G90)</f>
        <v>0</v>
      </c>
      <c r="H86" s="172">
        <f t="shared" si="51"/>
        <v>40792300</v>
      </c>
      <c r="I86" s="172">
        <f t="shared" si="51"/>
        <v>0</v>
      </c>
      <c r="J86" s="172">
        <f t="shared" si="51"/>
        <v>0</v>
      </c>
      <c r="K86" s="172">
        <f t="shared" si="51"/>
        <v>0</v>
      </c>
      <c r="L86" s="172">
        <f t="shared" ref="L86" si="52">(L87+L88+L89+L90)</f>
        <v>0</v>
      </c>
      <c r="M86" s="172">
        <f t="shared" si="51"/>
        <v>5232049.29</v>
      </c>
      <c r="N86" s="172">
        <f t="shared" si="51"/>
        <v>0</v>
      </c>
      <c r="O86" s="172">
        <f t="shared" si="51"/>
        <v>5232049.29</v>
      </c>
      <c r="P86" s="172">
        <f t="shared" si="51"/>
        <v>35560250.710000001</v>
      </c>
    </row>
    <row r="87" spans="1:16" x14ac:dyDescent="0.25">
      <c r="A87" s="130"/>
      <c r="B87" s="125" t="s">
        <v>234</v>
      </c>
      <c r="C87" s="149"/>
      <c r="D87" s="163">
        <v>10501</v>
      </c>
      <c r="E87" s="132" t="s">
        <v>264</v>
      </c>
      <c r="F87" s="164">
        <v>7000000</v>
      </c>
      <c r="G87" s="164"/>
      <c r="H87" s="165">
        <f>+F87+G87</f>
        <v>7000000</v>
      </c>
      <c r="I87" s="164"/>
      <c r="J87" s="164"/>
      <c r="K87" s="164"/>
      <c r="L87" s="165">
        <f t="shared" ref="L87:L90" si="53">+I87+J87+K87</f>
        <v>0</v>
      </c>
      <c r="M87" s="164">
        <v>113549.29</v>
      </c>
      <c r="N87" s="164"/>
      <c r="O87" s="165">
        <f>+L87+M87</f>
        <v>113549.29</v>
      </c>
      <c r="P87" s="165">
        <f t="shared" ref="P87:P90" si="54">+H87-O87-N87</f>
        <v>6886450.71</v>
      </c>
    </row>
    <row r="88" spans="1:16" x14ac:dyDescent="0.25">
      <c r="A88" s="130"/>
      <c r="B88" s="125" t="s">
        <v>234</v>
      </c>
      <c r="C88" s="149"/>
      <c r="D88" s="163">
        <v>10502</v>
      </c>
      <c r="E88" s="132" t="s">
        <v>265</v>
      </c>
      <c r="F88" s="164">
        <v>33792300</v>
      </c>
      <c r="G88" s="164"/>
      <c r="H88" s="165">
        <f>+F88+G88</f>
        <v>33792300</v>
      </c>
      <c r="I88" s="164"/>
      <c r="J88" s="164"/>
      <c r="K88" s="164"/>
      <c r="L88" s="165">
        <f t="shared" si="53"/>
        <v>0</v>
      </c>
      <c r="M88" s="164">
        <v>5118500</v>
      </c>
      <c r="N88" s="164"/>
      <c r="O88" s="165">
        <f>+L88+M88</f>
        <v>5118500</v>
      </c>
      <c r="P88" s="165">
        <f t="shared" si="54"/>
        <v>28673800</v>
      </c>
    </row>
    <row r="89" spans="1:16" x14ac:dyDescent="0.25">
      <c r="A89" s="130"/>
      <c r="B89" s="125" t="s">
        <v>234</v>
      </c>
      <c r="C89" s="149"/>
      <c r="D89" s="163">
        <v>10503</v>
      </c>
      <c r="E89" s="132" t="s">
        <v>266</v>
      </c>
      <c r="F89" s="164">
        <v>0</v>
      </c>
      <c r="G89" s="164">
        <v>0</v>
      </c>
      <c r="H89" s="165">
        <f>+F89+G89</f>
        <v>0</v>
      </c>
      <c r="I89" s="164">
        <v>0</v>
      </c>
      <c r="J89" s="164">
        <v>0</v>
      </c>
      <c r="K89" s="164">
        <v>0</v>
      </c>
      <c r="L89" s="165">
        <f t="shared" si="53"/>
        <v>0</v>
      </c>
      <c r="M89" s="164">
        <v>0</v>
      </c>
      <c r="N89" s="164"/>
      <c r="O89" s="165">
        <f>+L89+M89</f>
        <v>0</v>
      </c>
      <c r="P89" s="165">
        <f t="shared" si="54"/>
        <v>0</v>
      </c>
    </row>
    <row r="90" spans="1:16" x14ac:dyDescent="0.25">
      <c r="A90" s="130"/>
      <c r="B90" s="125" t="s">
        <v>234</v>
      </c>
      <c r="C90" s="149"/>
      <c r="D90" s="163">
        <v>10504</v>
      </c>
      <c r="E90" s="132" t="s">
        <v>267</v>
      </c>
      <c r="F90" s="164">
        <v>0</v>
      </c>
      <c r="G90" s="164">
        <v>0</v>
      </c>
      <c r="H90" s="165">
        <f>+F90+G90</f>
        <v>0</v>
      </c>
      <c r="I90" s="164">
        <v>0</v>
      </c>
      <c r="J90" s="164">
        <v>0</v>
      </c>
      <c r="K90" s="164">
        <v>0</v>
      </c>
      <c r="L90" s="165">
        <f t="shared" si="53"/>
        <v>0</v>
      </c>
      <c r="M90" s="164">
        <v>0</v>
      </c>
      <c r="N90" s="164"/>
      <c r="O90" s="165">
        <f>+L90+M90</f>
        <v>0</v>
      </c>
      <c r="P90" s="165">
        <f t="shared" si="54"/>
        <v>0</v>
      </c>
    </row>
    <row r="91" spans="1:16" x14ac:dyDescent="0.25">
      <c r="A91" s="130"/>
      <c r="B91" s="125"/>
      <c r="C91" s="149"/>
      <c r="D91" s="163"/>
      <c r="E91" s="132"/>
      <c r="F91" s="164"/>
      <c r="G91" s="165"/>
      <c r="H91" s="165"/>
      <c r="I91" s="165"/>
      <c r="J91" s="165"/>
      <c r="K91" s="165"/>
      <c r="L91" s="165"/>
      <c r="M91" s="164">
        <v>0</v>
      </c>
      <c r="N91" s="164"/>
      <c r="O91" s="165"/>
      <c r="P91" s="165"/>
    </row>
    <row r="92" spans="1:16" ht="23.25" x14ac:dyDescent="0.25">
      <c r="A92" s="130"/>
      <c r="B92" s="125" t="s">
        <v>234</v>
      </c>
      <c r="C92" s="157"/>
      <c r="D92" s="162">
        <v>106</v>
      </c>
      <c r="E92" s="131" t="s">
        <v>268</v>
      </c>
      <c r="F92" s="159">
        <f>SUM(F93:F95)</f>
        <v>107444884.01000001</v>
      </c>
      <c r="G92" s="172">
        <f t="shared" ref="G92:P92" si="55">(G93+G94+G95)</f>
        <v>0</v>
      </c>
      <c r="H92" s="172">
        <f t="shared" si="55"/>
        <v>107444884.01000001</v>
      </c>
      <c r="I92" s="172">
        <f t="shared" si="55"/>
        <v>0</v>
      </c>
      <c r="J92" s="172">
        <f t="shared" si="55"/>
        <v>0</v>
      </c>
      <c r="K92" s="172">
        <f t="shared" si="55"/>
        <v>0</v>
      </c>
      <c r="L92" s="172">
        <f t="shared" ref="L92" si="56">(L93+L94+L95)</f>
        <v>0</v>
      </c>
      <c r="M92" s="172">
        <f t="shared" si="55"/>
        <v>46376569.210000001</v>
      </c>
      <c r="N92" s="172">
        <f t="shared" si="55"/>
        <v>0</v>
      </c>
      <c r="O92" s="172">
        <f t="shared" si="55"/>
        <v>46376569.210000001</v>
      </c>
      <c r="P92" s="172">
        <f t="shared" si="55"/>
        <v>61068314.800000004</v>
      </c>
    </row>
    <row r="93" spans="1:16" x14ac:dyDescent="0.25">
      <c r="A93" s="130"/>
      <c r="B93" s="125" t="s">
        <v>234</v>
      </c>
      <c r="C93" s="149"/>
      <c r="D93" s="163">
        <v>10601</v>
      </c>
      <c r="E93" s="132" t="s">
        <v>269</v>
      </c>
      <c r="F93" s="164">
        <v>107444884.01000001</v>
      </c>
      <c r="G93" s="164"/>
      <c r="H93" s="165">
        <f>+F93+G93</f>
        <v>107444884.01000001</v>
      </c>
      <c r="I93" s="164"/>
      <c r="J93" s="164"/>
      <c r="K93" s="164"/>
      <c r="L93" s="165">
        <f t="shared" ref="L93" si="57">+I93+J93+K93</f>
        <v>0</v>
      </c>
      <c r="M93" s="164">
        <v>46376569.210000001</v>
      </c>
      <c r="N93" s="164"/>
      <c r="O93" s="165">
        <f>+L93+M93</f>
        <v>46376569.210000001</v>
      </c>
      <c r="P93" s="165">
        <f t="shared" ref="P93" si="58">+H93-O93-N93</f>
        <v>61068314.800000004</v>
      </c>
    </row>
    <row r="94" spans="1:16" hidden="1" x14ac:dyDescent="0.25">
      <c r="A94" s="130"/>
      <c r="B94" s="125" t="s">
        <v>234</v>
      </c>
      <c r="C94" s="149"/>
      <c r="D94" s="163">
        <v>10602</v>
      </c>
      <c r="E94" s="132" t="s">
        <v>270</v>
      </c>
      <c r="F94" s="164">
        <v>0</v>
      </c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/>
      <c r="O94" s="165">
        <v>0</v>
      </c>
      <c r="P94" s="165">
        <v>0</v>
      </c>
    </row>
    <row r="95" spans="1:16" ht="23.25" hidden="1" x14ac:dyDescent="0.25">
      <c r="A95" s="130"/>
      <c r="B95" s="125" t="s">
        <v>234</v>
      </c>
      <c r="C95" s="149"/>
      <c r="D95" s="163">
        <v>10603</v>
      </c>
      <c r="E95" s="132" t="s">
        <v>271</v>
      </c>
      <c r="F95" s="164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/>
      <c r="O95" s="165">
        <v>0</v>
      </c>
      <c r="P95" s="165">
        <v>0</v>
      </c>
    </row>
    <row r="96" spans="1:16" x14ac:dyDescent="0.25">
      <c r="A96" s="130"/>
      <c r="B96" s="125"/>
      <c r="C96" s="149"/>
      <c r="D96" s="163"/>
      <c r="E96" s="132"/>
      <c r="F96" s="164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x14ac:dyDescent="0.25">
      <c r="A97" s="130"/>
      <c r="B97" s="125" t="s">
        <v>234</v>
      </c>
      <c r="C97" s="157"/>
      <c r="D97" s="162">
        <v>107</v>
      </c>
      <c r="E97" s="131" t="s">
        <v>272</v>
      </c>
      <c r="F97" s="159">
        <f>SUM(F98:F100)</f>
        <v>53858000</v>
      </c>
      <c r="G97" s="172">
        <f t="shared" ref="G97:P97" si="59">(G98+G99+G100)</f>
        <v>0</v>
      </c>
      <c r="H97" s="172">
        <f t="shared" si="59"/>
        <v>53858000</v>
      </c>
      <c r="I97" s="172">
        <f t="shared" si="59"/>
        <v>0</v>
      </c>
      <c r="J97" s="172">
        <f t="shared" si="59"/>
        <v>0</v>
      </c>
      <c r="K97" s="172">
        <f t="shared" si="59"/>
        <v>0</v>
      </c>
      <c r="L97" s="172">
        <f t="shared" ref="L97" si="60">(L98+L99+L100)</f>
        <v>0</v>
      </c>
      <c r="M97" s="172">
        <f t="shared" si="59"/>
        <v>250000</v>
      </c>
      <c r="N97" s="172">
        <f t="shared" si="59"/>
        <v>0</v>
      </c>
      <c r="O97" s="172">
        <f t="shared" si="59"/>
        <v>250000</v>
      </c>
      <c r="P97" s="172">
        <f t="shared" si="59"/>
        <v>53608000</v>
      </c>
    </row>
    <row r="98" spans="1:16" x14ac:dyDescent="0.25">
      <c r="A98" s="130"/>
      <c r="B98" s="125" t="s">
        <v>234</v>
      </c>
      <c r="C98" s="149"/>
      <c r="D98" s="163">
        <v>10701</v>
      </c>
      <c r="E98" s="132" t="s">
        <v>273</v>
      </c>
      <c r="F98" s="164">
        <v>37300000</v>
      </c>
      <c r="G98" s="164"/>
      <c r="H98" s="165">
        <f>+F98+G98</f>
        <v>37300000</v>
      </c>
      <c r="I98" s="164"/>
      <c r="J98" s="164"/>
      <c r="K98" s="164"/>
      <c r="L98" s="165">
        <f t="shared" ref="L98:L100" si="61">+I98+J98+K98</f>
        <v>0</v>
      </c>
      <c r="M98" s="164"/>
      <c r="N98" s="164"/>
      <c r="O98" s="165">
        <f>+L98+M98</f>
        <v>0</v>
      </c>
      <c r="P98" s="165">
        <f t="shared" ref="P98:P99" si="62">+H98-O98-N98</f>
        <v>37300000</v>
      </c>
    </row>
    <row r="99" spans="1:16" x14ac:dyDescent="0.25">
      <c r="A99" s="130"/>
      <c r="B99" s="125" t="s">
        <v>234</v>
      </c>
      <c r="C99" s="149"/>
      <c r="D99" s="163">
        <v>10702</v>
      </c>
      <c r="E99" s="132" t="s">
        <v>274</v>
      </c>
      <c r="F99" s="164">
        <v>16558000</v>
      </c>
      <c r="G99" s="164"/>
      <c r="H99" s="165">
        <f>+F99+G99</f>
        <v>16558000</v>
      </c>
      <c r="I99" s="164"/>
      <c r="J99" s="164"/>
      <c r="K99" s="164"/>
      <c r="L99" s="165">
        <f t="shared" si="61"/>
        <v>0</v>
      </c>
      <c r="M99" s="164">
        <v>250000</v>
      </c>
      <c r="N99" s="164"/>
      <c r="O99" s="165">
        <f>+L99+M99</f>
        <v>250000</v>
      </c>
      <c r="P99" s="165">
        <f t="shared" si="62"/>
        <v>16308000</v>
      </c>
    </row>
    <row r="100" spans="1:16" ht="23.25" x14ac:dyDescent="0.25">
      <c r="A100" s="130"/>
      <c r="B100" s="125" t="s">
        <v>234</v>
      </c>
      <c r="C100" s="149"/>
      <c r="D100" s="163">
        <v>10703</v>
      </c>
      <c r="E100" s="132" t="s">
        <v>275</v>
      </c>
      <c r="F100" s="164">
        <v>0</v>
      </c>
      <c r="G100" s="164">
        <v>0</v>
      </c>
      <c r="H100" s="165">
        <f>+F100+G100</f>
        <v>0</v>
      </c>
      <c r="I100" s="164">
        <v>0</v>
      </c>
      <c r="J100" s="164">
        <v>0</v>
      </c>
      <c r="K100" s="164">
        <v>0</v>
      </c>
      <c r="L100" s="165">
        <f t="shared" si="61"/>
        <v>0</v>
      </c>
      <c r="M100" s="164">
        <v>0</v>
      </c>
      <c r="N100" s="164"/>
      <c r="O100" s="165">
        <f>+L100+M100</f>
        <v>0</v>
      </c>
      <c r="P100" s="165">
        <f>+H100-O100</f>
        <v>0</v>
      </c>
    </row>
    <row r="101" spans="1:16" x14ac:dyDescent="0.25">
      <c r="A101" s="130"/>
      <c r="B101" s="125"/>
      <c r="C101" s="149"/>
      <c r="D101" s="163"/>
      <c r="E101" s="132"/>
      <c r="F101" s="164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</row>
    <row r="102" spans="1:16" x14ac:dyDescent="0.25">
      <c r="A102" s="130"/>
      <c r="B102" s="125" t="s">
        <v>234</v>
      </c>
      <c r="C102" s="157"/>
      <c r="D102" s="162">
        <v>108</v>
      </c>
      <c r="E102" s="131" t="s">
        <v>276</v>
      </c>
      <c r="F102" s="159">
        <f>SUM(F103:F111)</f>
        <v>150190404.02000001</v>
      </c>
      <c r="G102" s="172">
        <f t="shared" ref="G102:P102" si="63">(G103+G104+G105+G106+G107+G108+G109+G110+G111)</f>
        <v>0</v>
      </c>
      <c r="H102" s="172">
        <f t="shared" si="63"/>
        <v>150190404.02000001</v>
      </c>
      <c r="I102" s="172">
        <f t="shared" si="63"/>
        <v>0</v>
      </c>
      <c r="J102" s="172">
        <f t="shared" si="63"/>
        <v>0</v>
      </c>
      <c r="K102" s="172">
        <f t="shared" si="63"/>
        <v>0</v>
      </c>
      <c r="L102" s="172">
        <f t="shared" ref="L102" si="64">(L103+L104+L105+L106+L107+L108+L109+L110+L111)</f>
        <v>0</v>
      </c>
      <c r="M102" s="172">
        <f t="shared" si="63"/>
        <v>4975593.16</v>
      </c>
      <c r="N102" s="172">
        <f t="shared" si="63"/>
        <v>0</v>
      </c>
      <c r="O102" s="172">
        <f t="shared" si="63"/>
        <v>4975593.16</v>
      </c>
      <c r="P102" s="172">
        <f t="shared" si="63"/>
        <v>145214810.86000001</v>
      </c>
    </row>
    <row r="103" spans="1:16" x14ac:dyDescent="0.25">
      <c r="A103" s="130"/>
      <c r="B103" s="125" t="s">
        <v>234</v>
      </c>
      <c r="C103" s="149"/>
      <c r="D103" s="163">
        <v>10801</v>
      </c>
      <c r="E103" s="132" t="s">
        <v>277</v>
      </c>
      <c r="F103" s="164">
        <v>25869112.699999999</v>
      </c>
      <c r="G103" s="164"/>
      <c r="H103" s="165">
        <f t="shared" ref="H103:H111" si="65">+F103+G103</f>
        <v>25869112.699999999</v>
      </c>
      <c r="I103" s="164"/>
      <c r="J103" s="164"/>
      <c r="K103" s="164"/>
      <c r="L103" s="165">
        <f t="shared" ref="L103:L111" si="66">+I103+J103+K103</f>
        <v>0</v>
      </c>
      <c r="M103" s="164"/>
      <c r="N103" s="164"/>
      <c r="O103" s="165">
        <f t="shared" ref="O103:O111" si="67">+L103+M103</f>
        <v>0</v>
      </c>
      <c r="P103" s="165">
        <f t="shared" ref="P103:P111" si="68">+H103-O103-N103</f>
        <v>25869112.699999999</v>
      </c>
    </row>
    <row r="104" spans="1:16" ht="23.25" hidden="1" x14ac:dyDescent="0.25">
      <c r="A104" s="130"/>
      <c r="B104" s="125" t="s">
        <v>234</v>
      </c>
      <c r="C104" s="149"/>
      <c r="D104" s="163">
        <v>10802</v>
      </c>
      <c r="E104" s="132" t="s">
        <v>278</v>
      </c>
      <c r="F104" s="164">
        <v>0</v>
      </c>
      <c r="G104" s="164">
        <v>0</v>
      </c>
      <c r="H104" s="165">
        <f t="shared" si="65"/>
        <v>0</v>
      </c>
      <c r="I104" s="164"/>
      <c r="J104" s="164"/>
      <c r="K104" s="164"/>
      <c r="L104" s="165">
        <f t="shared" si="66"/>
        <v>0</v>
      </c>
      <c r="M104" s="164"/>
      <c r="N104" s="164"/>
      <c r="O104" s="165">
        <f t="shared" si="67"/>
        <v>0</v>
      </c>
      <c r="P104" s="165">
        <f t="shared" si="68"/>
        <v>0</v>
      </c>
    </row>
    <row r="105" spans="1:16" ht="23.25" hidden="1" x14ac:dyDescent="0.25">
      <c r="A105" s="130"/>
      <c r="B105" s="125" t="s">
        <v>234</v>
      </c>
      <c r="C105" s="149"/>
      <c r="D105" s="163">
        <v>10803</v>
      </c>
      <c r="E105" s="132" t="s">
        <v>279</v>
      </c>
      <c r="F105" s="164">
        <v>0</v>
      </c>
      <c r="G105" s="164">
        <v>0</v>
      </c>
      <c r="H105" s="165">
        <f t="shared" si="65"/>
        <v>0</v>
      </c>
      <c r="I105" s="164"/>
      <c r="J105" s="164"/>
      <c r="K105" s="164"/>
      <c r="L105" s="165">
        <f t="shared" si="66"/>
        <v>0</v>
      </c>
      <c r="M105" s="164"/>
      <c r="N105" s="164"/>
      <c r="O105" s="165">
        <f t="shared" si="67"/>
        <v>0</v>
      </c>
      <c r="P105" s="165">
        <f t="shared" si="68"/>
        <v>0</v>
      </c>
    </row>
    <row r="106" spans="1:16" ht="23.25" x14ac:dyDescent="0.25">
      <c r="A106" s="130"/>
      <c r="B106" s="125" t="s">
        <v>234</v>
      </c>
      <c r="C106" s="149"/>
      <c r="D106" s="163">
        <v>10804</v>
      </c>
      <c r="E106" s="132" t="s">
        <v>280</v>
      </c>
      <c r="F106" s="164">
        <v>3000000</v>
      </c>
      <c r="G106" s="164">
        <v>0</v>
      </c>
      <c r="H106" s="165">
        <f t="shared" si="65"/>
        <v>3000000</v>
      </c>
      <c r="I106" s="164"/>
      <c r="J106" s="164"/>
      <c r="K106" s="164"/>
      <c r="L106" s="165">
        <f t="shared" si="66"/>
        <v>0</v>
      </c>
      <c r="M106" s="164"/>
      <c r="N106" s="164"/>
      <c r="O106" s="165">
        <f t="shared" si="67"/>
        <v>0</v>
      </c>
      <c r="P106" s="165">
        <f t="shared" si="68"/>
        <v>3000000</v>
      </c>
    </row>
    <row r="107" spans="1:16" ht="23.25" x14ac:dyDescent="0.25">
      <c r="A107" s="130"/>
      <c r="B107" s="125" t="s">
        <v>234</v>
      </c>
      <c r="C107" s="149"/>
      <c r="D107" s="163">
        <v>10805</v>
      </c>
      <c r="E107" s="132" t="s">
        <v>281</v>
      </c>
      <c r="F107" s="164">
        <v>71612411.299999997</v>
      </c>
      <c r="G107" s="164">
        <v>0</v>
      </c>
      <c r="H107" s="165">
        <f t="shared" si="65"/>
        <v>71612411.299999997</v>
      </c>
      <c r="I107" s="164"/>
      <c r="J107" s="164"/>
      <c r="K107" s="164"/>
      <c r="L107" s="165">
        <f t="shared" si="66"/>
        <v>0</v>
      </c>
      <c r="M107" s="164">
        <v>434941.02</v>
      </c>
      <c r="N107" s="164"/>
      <c r="O107" s="165">
        <f t="shared" si="67"/>
        <v>434941.02</v>
      </c>
      <c r="P107" s="165">
        <f t="shared" si="68"/>
        <v>71177470.280000001</v>
      </c>
    </row>
    <row r="108" spans="1:16" ht="23.25" x14ac:dyDescent="0.25">
      <c r="A108" s="130"/>
      <c r="B108" s="125" t="s">
        <v>234</v>
      </c>
      <c r="C108" s="149"/>
      <c r="D108" s="163">
        <v>10806</v>
      </c>
      <c r="E108" s="132" t="s">
        <v>282</v>
      </c>
      <c r="F108" s="164">
        <v>2000000</v>
      </c>
      <c r="G108" s="164">
        <v>0</v>
      </c>
      <c r="H108" s="165">
        <f t="shared" si="65"/>
        <v>2000000</v>
      </c>
      <c r="I108" s="164"/>
      <c r="J108" s="164"/>
      <c r="K108" s="164"/>
      <c r="L108" s="165">
        <f t="shared" si="66"/>
        <v>0</v>
      </c>
      <c r="M108" s="164"/>
      <c r="N108" s="164"/>
      <c r="O108" s="165">
        <f t="shared" si="67"/>
        <v>0</v>
      </c>
      <c r="P108" s="165">
        <f t="shared" si="68"/>
        <v>2000000</v>
      </c>
    </row>
    <row r="109" spans="1:16" ht="23.25" x14ac:dyDescent="0.25">
      <c r="A109" s="130"/>
      <c r="B109" s="125" t="s">
        <v>234</v>
      </c>
      <c r="C109" s="149"/>
      <c r="D109" s="163">
        <v>10807</v>
      </c>
      <c r="E109" s="132" t="s">
        <v>283</v>
      </c>
      <c r="F109" s="164">
        <v>7975280</v>
      </c>
      <c r="G109" s="164"/>
      <c r="H109" s="165">
        <f t="shared" si="65"/>
        <v>7975280</v>
      </c>
      <c r="I109" s="164"/>
      <c r="J109" s="164"/>
      <c r="K109" s="164"/>
      <c r="L109" s="165">
        <f t="shared" si="66"/>
        <v>0</v>
      </c>
      <c r="M109" s="164"/>
      <c r="N109" s="164"/>
      <c r="O109" s="165">
        <f t="shared" si="67"/>
        <v>0</v>
      </c>
      <c r="P109" s="165">
        <f t="shared" si="68"/>
        <v>7975280</v>
      </c>
    </row>
    <row r="110" spans="1:16" ht="23.25" x14ac:dyDescent="0.25">
      <c r="A110" s="130"/>
      <c r="B110" s="125" t="s">
        <v>234</v>
      </c>
      <c r="C110" s="149"/>
      <c r="D110" s="163">
        <v>10808</v>
      </c>
      <c r="E110" s="132" t="s">
        <v>284</v>
      </c>
      <c r="F110" s="164">
        <v>28100000</v>
      </c>
      <c r="G110" s="164"/>
      <c r="H110" s="165">
        <f t="shared" si="65"/>
        <v>28100000</v>
      </c>
      <c r="I110" s="164"/>
      <c r="J110" s="164"/>
      <c r="K110" s="164"/>
      <c r="L110" s="165">
        <f t="shared" si="66"/>
        <v>0</v>
      </c>
      <c r="M110" s="164">
        <v>4301657.1399999997</v>
      </c>
      <c r="N110" s="164"/>
      <c r="O110" s="165">
        <f t="shared" si="67"/>
        <v>4301657.1399999997</v>
      </c>
      <c r="P110" s="165">
        <f t="shared" si="68"/>
        <v>23798342.859999999</v>
      </c>
    </row>
    <row r="111" spans="1:16" x14ac:dyDescent="0.25">
      <c r="A111" s="130"/>
      <c r="B111" s="125" t="s">
        <v>234</v>
      </c>
      <c r="C111" s="149"/>
      <c r="D111" s="163">
        <v>10899</v>
      </c>
      <c r="E111" s="132" t="s">
        <v>285</v>
      </c>
      <c r="F111" s="164">
        <v>11633600.02</v>
      </c>
      <c r="G111" s="164"/>
      <c r="H111" s="165">
        <f t="shared" si="65"/>
        <v>11633600.02</v>
      </c>
      <c r="I111" s="164">
        <v>0</v>
      </c>
      <c r="J111" s="164">
        <v>0</v>
      </c>
      <c r="K111" s="164">
        <v>0</v>
      </c>
      <c r="L111" s="165">
        <f t="shared" si="66"/>
        <v>0</v>
      </c>
      <c r="M111" s="164">
        <v>238995</v>
      </c>
      <c r="N111" s="164"/>
      <c r="O111" s="165">
        <f t="shared" si="67"/>
        <v>238995</v>
      </c>
      <c r="P111" s="165">
        <f t="shared" si="68"/>
        <v>11394605.02</v>
      </c>
    </row>
    <row r="112" spans="1:16" x14ac:dyDescent="0.25">
      <c r="A112" s="130"/>
      <c r="B112" s="125"/>
      <c r="C112" s="149"/>
      <c r="D112" s="163"/>
      <c r="E112" s="132"/>
      <c r="F112" s="164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</row>
    <row r="113" spans="1:16" x14ac:dyDescent="0.25">
      <c r="A113" s="130"/>
      <c r="B113" s="125" t="s">
        <v>234</v>
      </c>
      <c r="C113" s="157"/>
      <c r="D113" s="162">
        <v>199</v>
      </c>
      <c r="E113" s="131" t="s">
        <v>286</v>
      </c>
      <c r="F113" s="159">
        <f>SUM(F114:F119)</f>
        <v>4000000</v>
      </c>
      <c r="G113" s="172">
        <f t="shared" ref="G113:P113" si="69">(G114+G115+G116+G117+G118+G119)</f>
        <v>0</v>
      </c>
      <c r="H113" s="172">
        <f t="shared" si="69"/>
        <v>4000000</v>
      </c>
      <c r="I113" s="172">
        <f t="shared" si="69"/>
        <v>0</v>
      </c>
      <c r="J113" s="172">
        <f t="shared" si="69"/>
        <v>0</v>
      </c>
      <c r="K113" s="172">
        <f t="shared" si="69"/>
        <v>0</v>
      </c>
      <c r="L113" s="172">
        <f t="shared" ref="L113" si="70">(L114+L115+L116+L117+L118+L119)</f>
        <v>0</v>
      </c>
      <c r="M113" s="172">
        <f t="shared" si="69"/>
        <v>0</v>
      </c>
      <c r="N113" s="172">
        <f t="shared" si="69"/>
        <v>0</v>
      </c>
      <c r="O113" s="172">
        <f t="shared" si="69"/>
        <v>0</v>
      </c>
      <c r="P113" s="172">
        <f t="shared" si="69"/>
        <v>4000000</v>
      </c>
    </row>
    <row r="114" spans="1:16" hidden="1" x14ac:dyDescent="0.25">
      <c r="A114" s="130"/>
      <c r="B114" s="125" t="s">
        <v>234</v>
      </c>
      <c r="C114" s="149"/>
      <c r="D114" s="163">
        <v>19901</v>
      </c>
      <c r="E114" s="132" t="s">
        <v>287</v>
      </c>
      <c r="F114" s="164">
        <v>0</v>
      </c>
      <c r="G114" s="165">
        <v>0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5">
        <v>0</v>
      </c>
      <c r="N114" s="165"/>
      <c r="O114" s="165">
        <v>0</v>
      </c>
      <c r="P114" s="165">
        <v>0</v>
      </c>
    </row>
    <row r="115" spans="1:16" x14ac:dyDescent="0.25">
      <c r="A115" s="130"/>
      <c r="B115" s="125" t="s">
        <v>234</v>
      </c>
      <c r="C115" s="149"/>
      <c r="D115" s="163">
        <v>19902</v>
      </c>
      <c r="E115" s="132" t="s">
        <v>288</v>
      </c>
      <c r="F115" s="164">
        <v>0</v>
      </c>
      <c r="G115" s="165"/>
      <c r="H115" s="165">
        <f t="shared" ref="H115:H117" si="71">+F115+G115</f>
        <v>0</v>
      </c>
      <c r="I115" s="165">
        <v>0</v>
      </c>
      <c r="J115" s="165">
        <v>0</v>
      </c>
      <c r="K115" s="165">
        <v>0</v>
      </c>
      <c r="L115" s="165">
        <f t="shared" ref="L115:L118" si="72">+I115+J115+K115</f>
        <v>0</v>
      </c>
      <c r="M115" s="165"/>
      <c r="N115" s="165"/>
      <c r="O115" s="165">
        <f t="shared" ref="O115:O117" si="73">+L115+M115</f>
        <v>0</v>
      </c>
      <c r="P115" s="165">
        <f t="shared" ref="P115:P118" si="74">+H115-O115-N115</f>
        <v>0</v>
      </c>
    </row>
    <row r="116" spans="1:16" hidden="1" x14ac:dyDescent="0.25">
      <c r="A116" s="130"/>
      <c r="B116" s="125" t="s">
        <v>234</v>
      </c>
      <c r="C116" s="149"/>
      <c r="D116" s="163">
        <v>19903</v>
      </c>
      <c r="E116" s="132" t="s">
        <v>289</v>
      </c>
      <c r="F116" s="164">
        <v>0</v>
      </c>
      <c r="G116" s="165"/>
      <c r="H116" s="165">
        <f t="shared" si="71"/>
        <v>0</v>
      </c>
      <c r="I116" s="165">
        <v>0</v>
      </c>
      <c r="J116" s="165">
        <v>0</v>
      </c>
      <c r="K116" s="165">
        <v>0</v>
      </c>
      <c r="L116" s="165">
        <f t="shared" si="72"/>
        <v>0</v>
      </c>
      <c r="M116" s="165"/>
      <c r="N116" s="165"/>
      <c r="O116" s="165">
        <f t="shared" si="73"/>
        <v>0</v>
      </c>
      <c r="P116" s="165">
        <f t="shared" si="74"/>
        <v>0</v>
      </c>
    </row>
    <row r="117" spans="1:16" ht="23.25" hidden="1" x14ac:dyDescent="0.25">
      <c r="A117" s="130"/>
      <c r="B117" s="125" t="s">
        <v>234</v>
      </c>
      <c r="C117" s="149"/>
      <c r="D117" s="163">
        <v>19904</v>
      </c>
      <c r="E117" s="132" t="s">
        <v>290</v>
      </c>
      <c r="F117" s="164">
        <v>0</v>
      </c>
      <c r="G117" s="165"/>
      <c r="H117" s="165">
        <f t="shared" si="71"/>
        <v>0</v>
      </c>
      <c r="I117" s="165">
        <v>0</v>
      </c>
      <c r="J117" s="165">
        <v>0</v>
      </c>
      <c r="K117" s="165">
        <v>0</v>
      </c>
      <c r="L117" s="165">
        <f t="shared" si="72"/>
        <v>0</v>
      </c>
      <c r="M117" s="165"/>
      <c r="N117" s="165"/>
      <c r="O117" s="165">
        <f t="shared" si="73"/>
        <v>0</v>
      </c>
      <c r="P117" s="165">
        <f t="shared" si="74"/>
        <v>0</v>
      </c>
    </row>
    <row r="118" spans="1:16" x14ac:dyDescent="0.25">
      <c r="A118" s="130"/>
      <c r="B118" s="125" t="s">
        <v>234</v>
      </c>
      <c r="C118" s="149"/>
      <c r="D118" s="163">
        <v>19905</v>
      </c>
      <c r="E118" s="132" t="s">
        <v>291</v>
      </c>
      <c r="F118" s="164">
        <v>4000000</v>
      </c>
      <c r="G118" s="164">
        <v>0</v>
      </c>
      <c r="H118" s="165">
        <f>+F118+G118</f>
        <v>4000000</v>
      </c>
      <c r="I118" s="165"/>
      <c r="J118" s="164"/>
      <c r="K118" s="164"/>
      <c r="L118" s="165">
        <f t="shared" si="72"/>
        <v>0</v>
      </c>
      <c r="M118" s="164"/>
      <c r="N118" s="164"/>
      <c r="O118" s="165">
        <f>+L118+M118</f>
        <v>0</v>
      </c>
      <c r="P118" s="165">
        <f t="shared" si="74"/>
        <v>4000000</v>
      </c>
    </row>
    <row r="119" spans="1:16" hidden="1" x14ac:dyDescent="0.25">
      <c r="A119" s="130"/>
      <c r="B119" s="125" t="s">
        <v>234</v>
      </c>
      <c r="C119" s="149"/>
      <c r="D119" s="163">
        <v>19999</v>
      </c>
      <c r="E119" s="132" t="s">
        <v>292</v>
      </c>
      <c r="F119" s="164">
        <v>0</v>
      </c>
      <c r="G119" s="165">
        <v>0</v>
      </c>
      <c r="H119" s="165">
        <v>0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/>
      <c r="O119" s="165">
        <v>0</v>
      </c>
      <c r="P119" s="165">
        <v>0</v>
      </c>
    </row>
    <row r="120" spans="1:16" x14ac:dyDescent="0.25">
      <c r="A120" s="130"/>
      <c r="B120" s="125"/>
      <c r="C120" s="149"/>
      <c r="D120" s="163"/>
      <c r="E120" s="132"/>
      <c r="F120" s="164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</row>
    <row r="121" spans="1:16" x14ac:dyDescent="0.25">
      <c r="A121" s="130"/>
      <c r="B121" s="125" t="s">
        <v>234</v>
      </c>
      <c r="C121" s="157"/>
      <c r="D121" s="162">
        <v>109</v>
      </c>
      <c r="E121" s="131" t="s">
        <v>293</v>
      </c>
      <c r="F121" s="159">
        <f>SUM(F122:F125)</f>
        <v>2500000</v>
      </c>
      <c r="G121" s="172">
        <f t="shared" ref="G121:P121" si="75">(G122+G123+G124+G125)</f>
        <v>0</v>
      </c>
      <c r="H121" s="172">
        <f t="shared" si="75"/>
        <v>2500000</v>
      </c>
      <c r="I121" s="172">
        <f t="shared" si="75"/>
        <v>0</v>
      </c>
      <c r="J121" s="172">
        <f t="shared" si="75"/>
        <v>0</v>
      </c>
      <c r="K121" s="172">
        <f t="shared" si="75"/>
        <v>0</v>
      </c>
      <c r="L121" s="172">
        <f t="shared" ref="L121" si="76">(L122+L123+L124+L125)</f>
        <v>0</v>
      </c>
      <c r="M121" s="172">
        <f t="shared" si="75"/>
        <v>0</v>
      </c>
      <c r="N121" s="172">
        <f t="shared" si="75"/>
        <v>0</v>
      </c>
      <c r="O121" s="172">
        <f t="shared" si="75"/>
        <v>0</v>
      </c>
      <c r="P121" s="172">
        <f t="shared" si="75"/>
        <v>2200000</v>
      </c>
    </row>
    <row r="122" spans="1:16" ht="23.25" hidden="1" x14ac:dyDescent="0.25">
      <c r="A122" s="130"/>
      <c r="B122" s="125" t="s">
        <v>234</v>
      </c>
      <c r="C122" s="149"/>
      <c r="D122" s="163">
        <v>10901</v>
      </c>
      <c r="E122" s="132" t="s">
        <v>294</v>
      </c>
      <c r="F122" s="164">
        <v>0</v>
      </c>
      <c r="G122" s="165">
        <v>0</v>
      </c>
      <c r="H122" s="165">
        <v>0</v>
      </c>
      <c r="I122" s="165">
        <v>0</v>
      </c>
      <c r="J122" s="165">
        <v>0</v>
      </c>
      <c r="K122" s="165">
        <v>0</v>
      </c>
      <c r="L122" s="165">
        <v>0</v>
      </c>
      <c r="M122" s="165">
        <v>0</v>
      </c>
      <c r="N122" s="165"/>
      <c r="O122" s="165">
        <v>0</v>
      </c>
      <c r="P122" s="165">
        <v>0</v>
      </c>
    </row>
    <row r="123" spans="1:16" x14ac:dyDescent="0.25">
      <c r="A123" s="130"/>
      <c r="B123" s="125" t="s">
        <v>234</v>
      </c>
      <c r="C123" s="149"/>
      <c r="D123" s="163">
        <v>10902</v>
      </c>
      <c r="E123" s="132" t="s">
        <v>295</v>
      </c>
      <c r="F123" s="164">
        <v>300000</v>
      </c>
      <c r="G123" s="165">
        <v>0</v>
      </c>
      <c r="H123" s="165">
        <f>+F123+G123</f>
        <v>300000</v>
      </c>
      <c r="I123" s="165">
        <v>0</v>
      </c>
      <c r="J123" s="165">
        <v>0</v>
      </c>
      <c r="K123" s="165">
        <v>0</v>
      </c>
      <c r="L123" s="165">
        <v>0</v>
      </c>
      <c r="M123" s="165">
        <v>0</v>
      </c>
      <c r="N123" s="165"/>
      <c r="O123" s="165">
        <v>0</v>
      </c>
      <c r="P123" s="165">
        <v>0</v>
      </c>
    </row>
    <row r="124" spans="1:16" ht="1.5" customHeight="1" x14ac:dyDescent="0.25">
      <c r="A124" s="130"/>
      <c r="B124" s="125" t="s">
        <v>234</v>
      </c>
      <c r="C124" s="149"/>
      <c r="D124" s="163">
        <v>10903</v>
      </c>
      <c r="E124" s="132" t="s">
        <v>296</v>
      </c>
      <c r="F124" s="164">
        <v>0</v>
      </c>
      <c r="G124" s="165">
        <v>0</v>
      </c>
      <c r="H124" s="165">
        <v>0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5"/>
      <c r="O124" s="165">
        <v>0</v>
      </c>
      <c r="P124" s="165">
        <v>0</v>
      </c>
    </row>
    <row r="125" spans="1:16" x14ac:dyDescent="0.25">
      <c r="A125" s="137"/>
      <c r="B125" s="125" t="s">
        <v>234</v>
      </c>
      <c r="C125" s="149"/>
      <c r="D125" s="163">
        <v>10904</v>
      </c>
      <c r="E125" s="132" t="s">
        <v>297</v>
      </c>
      <c r="F125" s="164">
        <v>2200000</v>
      </c>
      <c r="G125" s="164">
        <v>0</v>
      </c>
      <c r="H125" s="165">
        <f>+F125+G125</f>
        <v>2200000</v>
      </c>
      <c r="I125" s="164">
        <v>0</v>
      </c>
      <c r="J125" s="164">
        <v>0</v>
      </c>
      <c r="K125" s="164">
        <v>0</v>
      </c>
      <c r="L125" s="165">
        <f t="shared" ref="L125" si="77">+I125+J125+K125</f>
        <v>0</v>
      </c>
      <c r="M125" s="164"/>
      <c r="N125" s="164"/>
      <c r="O125" s="165">
        <f>+L125+M125</f>
        <v>0</v>
      </c>
      <c r="P125" s="165">
        <f t="shared" ref="P125" si="78">+H125-O125-N125</f>
        <v>2200000</v>
      </c>
    </row>
    <row r="126" spans="1:16" x14ac:dyDescent="0.25">
      <c r="A126" s="130"/>
      <c r="B126" s="173"/>
      <c r="C126" s="174"/>
      <c r="D126" s="175"/>
      <c r="E126" s="138"/>
      <c r="F126" s="176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</row>
    <row r="127" spans="1:16" x14ac:dyDescent="0.25">
      <c r="A127" s="130"/>
      <c r="B127" s="125" t="s">
        <v>234</v>
      </c>
      <c r="C127" s="157"/>
      <c r="D127" s="158">
        <v>2</v>
      </c>
      <c r="E127" s="128" t="s">
        <v>298</v>
      </c>
      <c r="F127" s="159">
        <f>+F129+F136+F142+F151+F155+F161</f>
        <v>194505010</v>
      </c>
      <c r="G127" s="172">
        <f t="shared" ref="G127:P127" si="79">(G129+G136+G142+G151+G155+G161)</f>
        <v>0</v>
      </c>
      <c r="H127" s="172">
        <f t="shared" si="79"/>
        <v>194505010</v>
      </c>
      <c r="I127" s="172">
        <f t="shared" si="79"/>
        <v>0</v>
      </c>
      <c r="J127" s="172">
        <f t="shared" si="79"/>
        <v>0</v>
      </c>
      <c r="K127" s="172">
        <f t="shared" si="79"/>
        <v>0</v>
      </c>
      <c r="L127" s="172">
        <f t="shared" ref="L127" si="80">(L129+L136+L142+L151+L155+L161)</f>
        <v>0</v>
      </c>
      <c r="M127" s="172">
        <f t="shared" si="79"/>
        <v>9063133.7100000009</v>
      </c>
      <c r="N127" s="172">
        <f t="shared" si="79"/>
        <v>0</v>
      </c>
      <c r="O127" s="172">
        <f t="shared" si="79"/>
        <v>9063133.7100000009</v>
      </c>
      <c r="P127" s="172">
        <f t="shared" si="79"/>
        <v>185441876.29000002</v>
      </c>
    </row>
    <row r="128" spans="1:16" x14ac:dyDescent="0.25">
      <c r="A128" s="130"/>
      <c r="B128" s="125"/>
      <c r="C128" s="157"/>
      <c r="D128" s="163"/>
      <c r="E128" s="132"/>
      <c r="F128" s="159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</row>
    <row r="129" spans="1:16" x14ac:dyDescent="0.25">
      <c r="A129" s="130"/>
      <c r="B129" s="125" t="s">
        <v>234</v>
      </c>
      <c r="C129" s="157"/>
      <c r="D129" s="162">
        <v>201</v>
      </c>
      <c r="E129" s="131" t="s">
        <v>299</v>
      </c>
      <c r="F129" s="159">
        <f>SUM(F130:F134)</f>
        <v>46676950</v>
      </c>
      <c r="G129" s="159">
        <f t="shared" ref="G129:P129" si="81">(G130+G131+G132+G133+G134)</f>
        <v>0</v>
      </c>
      <c r="H129" s="159">
        <f t="shared" si="81"/>
        <v>46676950</v>
      </c>
      <c r="I129" s="159">
        <f t="shared" si="81"/>
        <v>0</v>
      </c>
      <c r="J129" s="159">
        <f t="shared" si="81"/>
        <v>0</v>
      </c>
      <c r="K129" s="159">
        <f t="shared" si="81"/>
        <v>0</v>
      </c>
      <c r="L129" s="159">
        <f t="shared" ref="L129" si="82">(L130+L131+L132+L133+L134)</f>
        <v>0</v>
      </c>
      <c r="M129" s="159">
        <f t="shared" si="81"/>
        <v>5042478.34</v>
      </c>
      <c r="N129" s="159">
        <f t="shared" si="81"/>
        <v>0</v>
      </c>
      <c r="O129" s="172">
        <f t="shared" si="81"/>
        <v>5042478.34</v>
      </c>
      <c r="P129" s="159">
        <f t="shared" si="81"/>
        <v>41634471.659999996</v>
      </c>
    </row>
    <row r="130" spans="1:16" x14ac:dyDescent="0.25">
      <c r="A130" s="130"/>
      <c r="B130" s="125" t="s">
        <v>234</v>
      </c>
      <c r="C130" s="149"/>
      <c r="D130" s="163">
        <v>20101</v>
      </c>
      <c r="E130" s="132" t="s">
        <v>300</v>
      </c>
      <c r="F130" s="164">
        <v>39100000</v>
      </c>
      <c r="G130" s="164"/>
      <c r="H130" s="165">
        <f>+F130+G130</f>
        <v>39100000</v>
      </c>
      <c r="I130" s="164"/>
      <c r="J130" s="164"/>
      <c r="K130" s="164"/>
      <c r="L130" s="165">
        <f t="shared" ref="L130:L134" si="83">+I130+J130+K130</f>
        <v>0</v>
      </c>
      <c r="M130" s="164">
        <v>4566409.34</v>
      </c>
      <c r="N130" s="164"/>
      <c r="O130" s="165">
        <f>+L130+M130</f>
        <v>4566409.34</v>
      </c>
      <c r="P130" s="165">
        <f t="shared" ref="P130:P134" si="84">+H130-O130-N130</f>
        <v>34533590.659999996</v>
      </c>
    </row>
    <row r="131" spans="1:16" ht="23.25" x14ac:dyDescent="0.25">
      <c r="A131" s="130"/>
      <c r="B131" s="125" t="s">
        <v>234</v>
      </c>
      <c r="C131" s="149"/>
      <c r="D131" s="163">
        <v>20102</v>
      </c>
      <c r="E131" s="132" t="s">
        <v>301</v>
      </c>
      <c r="F131" s="164">
        <v>4250000</v>
      </c>
      <c r="G131" s="164">
        <v>0</v>
      </c>
      <c r="H131" s="165">
        <f>+F131+G131</f>
        <v>4250000</v>
      </c>
      <c r="I131" s="164">
        <v>0</v>
      </c>
      <c r="J131" s="164">
        <v>0</v>
      </c>
      <c r="K131" s="164">
        <v>0</v>
      </c>
      <c r="L131" s="165">
        <f t="shared" si="83"/>
        <v>0</v>
      </c>
      <c r="M131" s="164"/>
      <c r="N131" s="164"/>
      <c r="O131" s="165">
        <f>+L131+M131</f>
        <v>0</v>
      </c>
      <c r="P131" s="165">
        <f t="shared" si="84"/>
        <v>4250000</v>
      </c>
    </row>
    <row r="132" spans="1:16" x14ac:dyDescent="0.25">
      <c r="A132" s="130"/>
      <c r="B132" s="125" t="s">
        <v>234</v>
      </c>
      <c r="C132" s="149"/>
      <c r="D132" s="163">
        <v>20103</v>
      </c>
      <c r="E132" s="132" t="s">
        <v>302</v>
      </c>
      <c r="F132" s="164">
        <v>0</v>
      </c>
      <c r="G132" s="164">
        <v>0</v>
      </c>
      <c r="H132" s="165">
        <f>+F132+G132</f>
        <v>0</v>
      </c>
      <c r="I132" s="164">
        <v>0</v>
      </c>
      <c r="J132" s="164">
        <v>0</v>
      </c>
      <c r="K132" s="164">
        <v>0</v>
      </c>
      <c r="L132" s="165">
        <f t="shared" si="83"/>
        <v>0</v>
      </c>
      <c r="M132" s="164"/>
      <c r="N132" s="164"/>
      <c r="O132" s="165">
        <f>+L132+M132</f>
        <v>0</v>
      </c>
      <c r="P132" s="165">
        <f t="shared" si="84"/>
        <v>0</v>
      </c>
    </row>
    <row r="133" spans="1:16" x14ac:dyDescent="0.25">
      <c r="A133" s="130"/>
      <c r="B133" s="125" t="s">
        <v>234</v>
      </c>
      <c r="C133" s="149"/>
      <c r="D133" s="163">
        <v>20104</v>
      </c>
      <c r="E133" s="132" t="s">
        <v>303</v>
      </c>
      <c r="F133" s="164">
        <v>3326950</v>
      </c>
      <c r="G133" s="164"/>
      <c r="H133" s="165">
        <f>+F133+G133</f>
        <v>3326950</v>
      </c>
      <c r="I133" s="164"/>
      <c r="J133" s="164"/>
      <c r="K133" s="164"/>
      <c r="L133" s="165">
        <f t="shared" si="83"/>
        <v>0</v>
      </c>
      <c r="M133" s="164">
        <v>476069</v>
      </c>
      <c r="N133" s="164"/>
      <c r="O133" s="165">
        <f>+L133+M133</f>
        <v>476069</v>
      </c>
      <c r="P133" s="165">
        <f t="shared" si="84"/>
        <v>2850881</v>
      </c>
    </row>
    <row r="134" spans="1:16" ht="23.25" x14ac:dyDescent="0.25">
      <c r="A134" s="130"/>
      <c r="B134" s="125" t="s">
        <v>234</v>
      </c>
      <c r="C134" s="149"/>
      <c r="D134" s="163">
        <v>20199</v>
      </c>
      <c r="E134" s="132" t="s">
        <v>304</v>
      </c>
      <c r="F134" s="164">
        <v>0</v>
      </c>
      <c r="G134" s="164">
        <v>0</v>
      </c>
      <c r="H134" s="165">
        <f>+F134+G134</f>
        <v>0</v>
      </c>
      <c r="I134" s="164">
        <v>0</v>
      </c>
      <c r="J134" s="164">
        <v>0</v>
      </c>
      <c r="K134" s="164">
        <v>0</v>
      </c>
      <c r="L134" s="165">
        <f t="shared" si="83"/>
        <v>0</v>
      </c>
      <c r="M134" s="164">
        <v>0</v>
      </c>
      <c r="N134" s="164"/>
      <c r="O134" s="165">
        <f>+L134+M134</f>
        <v>0</v>
      </c>
      <c r="P134" s="165">
        <f t="shared" si="84"/>
        <v>0</v>
      </c>
    </row>
    <row r="135" spans="1:16" x14ac:dyDescent="0.25">
      <c r="A135" s="130"/>
      <c r="B135" s="125"/>
      <c r="C135" s="149"/>
      <c r="D135" s="163"/>
      <c r="E135" s="132"/>
      <c r="F135" s="164"/>
      <c r="G135" s="165"/>
      <c r="H135" s="165"/>
      <c r="I135" s="164">
        <v>0</v>
      </c>
      <c r="J135" s="164">
        <v>0</v>
      </c>
      <c r="K135" s="164">
        <v>0</v>
      </c>
      <c r="L135" s="165"/>
      <c r="M135" s="165"/>
      <c r="N135" s="165"/>
      <c r="O135" s="165"/>
      <c r="P135" s="165"/>
    </row>
    <row r="136" spans="1:16" ht="23.25" x14ac:dyDescent="0.25">
      <c r="A136" s="130"/>
      <c r="B136" s="125" t="s">
        <v>234</v>
      </c>
      <c r="C136" s="157"/>
      <c r="D136" s="162">
        <v>202</v>
      </c>
      <c r="E136" s="131" t="s">
        <v>305</v>
      </c>
      <c r="F136" s="159">
        <f>SUM(F137:F140)</f>
        <v>35402625</v>
      </c>
      <c r="G136" s="172">
        <f t="shared" ref="G136:P136" si="85">(G137+G138+G139+G140)</f>
        <v>0</v>
      </c>
      <c r="H136" s="172">
        <f t="shared" si="85"/>
        <v>35402625</v>
      </c>
      <c r="I136" s="172">
        <f t="shared" si="85"/>
        <v>0</v>
      </c>
      <c r="J136" s="172">
        <f t="shared" si="85"/>
        <v>0</v>
      </c>
      <c r="K136" s="172">
        <f t="shared" si="85"/>
        <v>0</v>
      </c>
      <c r="L136" s="172">
        <f t="shared" ref="L136:N136" si="86">(L137+L138+L139+L140)</f>
        <v>0</v>
      </c>
      <c r="M136" s="172">
        <f t="shared" si="85"/>
        <v>688343.05</v>
      </c>
      <c r="N136" s="172">
        <f t="shared" si="86"/>
        <v>0</v>
      </c>
      <c r="O136" s="172">
        <f t="shared" si="85"/>
        <v>688343.05</v>
      </c>
      <c r="P136" s="172">
        <f t="shared" si="85"/>
        <v>34714281.950000003</v>
      </c>
    </row>
    <row r="137" spans="1:16" ht="23.25" hidden="1" x14ac:dyDescent="0.25">
      <c r="A137" s="130"/>
      <c r="B137" s="125" t="s">
        <v>234</v>
      </c>
      <c r="C137" s="149"/>
      <c r="D137" s="163">
        <v>20201</v>
      </c>
      <c r="E137" s="132" t="s">
        <v>306</v>
      </c>
      <c r="F137" s="164">
        <v>0</v>
      </c>
      <c r="G137" s="165">
        <v>0</v>
      </c>
      <c r="H137" s="165">
        <v>0</v>
      </c>
      <c r="I137" s="165">
        <v>0</v>
      </c>
      <c r="J137" s="165">
        <v>0</v>
      </c>
      <c r="K137" s="165">
        <v>0</v>
      </c>
      <c r="L137" s="165">
        <v>0</v>
      </c>
      <c r="M137" s="165">
        <v>0</v>
      </c>
      <c r="N137" s="165"/>
      <c r="O137" s="165">
        <v>0</v>
      </c>
      <c r="P137" s="165">
        <v>0</v>
      </c>
    </row>
    <row r="138" spans="1:16" hidden="1" x14ac:dyDescent="0.25">
      <c r="A138" s="130"/>
      <c r="B138" s="125" t="s">
        <v>234</v>
      </c>
      <c r="C138" s="149"/>
      <c r="D138" s="163">
        <v>20202</v>
      </c>
      <c r="E138" s="132" t="s">
        <v>307</v>
      </c>
      <c r="F138" s="164">
        <v>0</v>
      </c>
      <c r="G138" s="165">
        <v>0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5">
        <v>0</v>
      </c>
      <c r="N138" s="165"/>
      <c r="O138" s="165">
        <v>0</v>
      </c>
      <c r="P138" s="165">
        <v>0</v>
      </c>
    </row>
    <row r="139" spans="1:16" x14ac:dyDescent="0.25">
      <c r="A139" s="130"/>
      <c r="B139" s="125" t="s">
        <v>234</v>
      </c>
      <c r="C139" s="149"/>
      <c r="D139" s="163">
        <v>20203</v>
      </c>
      <c r="E139" s="132" t="s">
        <v>308</v>
      </c>
      <c r="F139" s="164">
        <v>35402625</v>
      </c>
      <c r="G139" s="164"/>
      <c r="H139" s="165">
        <f>+F139+G139</f>
        <v>35402625</v>
      </c>
      <c r="I139" s="164"/>
      <c r="J139" s="164"/>
      <c r="K139" s="164"/>
      <c r="L139" s="165">
        <f t="shared" ref="L139" si="87">+I139+J139+K139</f>
        <v>0</v>
      </c>
      <c r="M139" s="164">
        <v>688343.05</v>
      </c>
      <c r="N139" s="164"/>
      <c r="O139" s="165">
        <f>+L139+M139</f>
        <v>688343.05</v>
      </c>
      <c r="P139" s="165">
        <f t="shared" ref="P139" si="88">+H139-O139-N139</f>
        <v>34714281.950000003</v>
      </c>
    </row>
    <row r="140" spans="1:16" hidden="1" x14ac:dyDescent="0.25">
      <c r="A140" s="130"/>
      <c r="B140" s="125" t="s">
        <v>234</v>
      </c>
      <c r="C140" s="149"/>
      <c r="D140" s="163">
        <v>20204</v>
      </c>
      <c r="E140" s="132" t="s">
        <v>309</v>
      </c>
      <c r="F140" s="164">
        <v>0</v>
      </c>
      <c r="G140" s="165">
        <v>0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5">
        <v>0</v>
      </c>
      <c r="N140" s="165"/>
      <c r="O140" s="165">
        <v>0</v>
      </c>
      <c r="P140" s="165">
        <v>0</v>
      </c>
    </row>
    <row r="141" spans="1:16" x14ac:dyDescent="0.25">
      <c r="A141" s="130"/>
      <c r="B141" s="125"/>
      <c r="C141" s="149"/>
      <c r="D141" s="163"/>
      <c r="E141" s="132"/>
      <c r="F141" s="164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</row>
    <row r="142" spans="1:16" ht="34.5" x14ac:dyDescent="0.25">
      <c r="A142" s="130"/>
      <c r="B142" s="125" t="s">
        <v>234</v>
      </c>
      <c r="C142" s="157"/>
      <c r="D142" s="162">
        <v>203</v>
      </c>
      <c r="E142" s="131" t="s">
        <v>310</v>
      </c>
      <c r="F142" s="159">
        <f>SUM(F143:F149)</f>
        <v>23665362</v>
      </c>
      <c r="G142" s="172">
        <f t="shared" ref="G142:P142" si="89">(G143+G144+G145+G146+G147+G148+G149)</f>
        <v>0</v>
      </c>
      <c r="H142" s="172">
        <f t="shared" si="89"/>
        <v>23665362</v>
      </c>
      <c r="I142" s="172">
        <f t="shared" si="89"/>
        <v>0</v>
      </c>
      <c r="J142" s="172">
        <f t="shared" si="89"/>
        <v>0</v>
      </c>
      <c r="K142" s="172">
        <f t="shared" si="89"/>
        <v>0</v>
      </c>
      <c r="L142" s="172">
        <f t="shared" ref="L142" si="90">(L143+L144+L145+L146+L147+L148+L149)</f>
        <v>0</v>
      </c>
      <c r="M142" s="172">
        <f t="shared" si="89"/>
        <v>314018.53999999998</v>
      </c>
      <c r="N142" s="172">
        <f t="shared" si="89"/>
        <v>0</v>
      </c>
      <c r="O142" s="172">
        <f t="shared" si="89"/>
        <v>314018.53999999998</v>
      </c>
      <c r="P142" s="172">
        <f t="shared" si="89"/>
        <v>23351343.460000001</v>
      </c>
    </row>
    <row r="143" spans="1:16" x14ac:dyDescent="0.25">
      <c r="A143" s="130"/>
      <c r="B143" s="125" t="s">
        <v>234</v>
      </c>
      <c r="C143" s="149"/>
      <c r="D143" s="163">
        <v>20301</v>
      </c>
      <c r="E143" s="132" t="s">
        <v>311</v>
      </c>
      <c r="F143" s="164">
        <v>1000000</v>
      </c>
      <c r="G143" s="164">
        <v>0</v>
      </c>
      <c r="H143" s="165">
        <f t="shared" ref="H143:H149" si="91">+F143+G143</f>
        <v>1000000</v>
      </c>
      <c r="I143" s="164"/>
      <c r="J143" s="164"/>
      <c r="K143" s="164"/>
      <c r="L143" s="165">
        <f t="shared" ref="L143:L149" si="92">+I143+J143+K143</f>
        <v>0</v>
      </c>
      <c r="M143" s="164"/>
      <c r="N143" s="164"/>
      <c r="O143" s="165">
        <f t="shared" ref="O143:O149" si="93">+L143+M143</f>
        <v>0</v>
      </c>
      <c r="P143" s="165">
        <f t="shared" ref="P143:P149" si="94">+H143-O143-N143</f>
        <v>1000000</v>
      </c>
    </row>
    <row r="144" spans="1:16" ht="23.25" x14ac:dyDescent="0.25">
      <c r="A144" s="130"/>
      <c r="B144" s="125" t="s">
        <v>234</v>
      </c>
      <c r="C144" s="149"/>
      <c r="D144" s="163">
        <v>20302</v>
      </c>
      <c r="E144" s="132" t="s">
        <v>312</v>
      </c>
      <c r="F144" s="164">
        <v>600000</v>
      </c>
      <c r="G144" s="164">
        <v>0</v>
      </c>
      <c r="H144" s="165">
        <f t="shared" si="91"/>
        <v>600000</v>
      </c>
      <c r="I144" s="164"/>
      <c r="J144" s="164"/>
      <c r="K144" s="164"/>
      <c r="L144" s="165">
        <f t="shared" si="92"/>
        <v>0</v>
      </c>
      <c r="M144" s="164">
        <v>36031.040000000001</v>
      </c>
      <c r="N144" s="164"/>
      <c r="O144" s="165">
        <f t="shared" si="93"/>
        <v>36031.040000000001</v>
      </c>
      <c r="P144" s="165">
        <f t="shared" si="94"/>
        <v>563968.96</v>
      </c>
    </row>
    <row r="145" spans="1:16" x14ac:dyDescent="0.25">
      <c r="A145" s="130"/>
      <c r="B145" s="125" t="s">
        <v>234</v>
      </c>
      <c r="C145" s="149"/>
      <c r="D145" s="163">
        <v>20303</v>
      </c>
      <c r="E145" s="132" t="s">
        <v>313</v>
      </c>
      <c r="F145" s="164">
        <v>630000</v>
      </c>
      <c r="G145" s="164">
        <v>0</v>
      </c>
      <c r="H145" s="165">
        <f t="shared" si="91"/>
        <v>630000</v>
      </c>
      <c r="I145" s="164"/>
      <c r="J145" s="164"/>
      <c r="K145" s="164"/>
      <c r="L145" s="165">
        <f t="shared" si="92"/>
        <v>0</v>
      </c>
      <c r="M145" s="164">
        <v>2030.06</v>
      </c>
      <c r="N145" s="164"/>
      <c r="O145" s="165">
        <f t="shared" si="93"/>
        <v>2030.06</v>
      </c>
      <c r="P145" s="165">
        <f t="shared" si="94"/>
        <v>627969.93999999994</v>
      </c>
    </row>
    <row r="146" spans="1:16" ht="23.25" x14ac:dyDescent="0.25">
      <c r="A146" s="130"/>
      <c r="B146" s="125" t="s">
        <v>234</v>
      </c>
      <c r="C146" s="149"/>
      <c r="D146" s="163">
        <v>20304</v>
      </c>
      <c r="E146" s="132" t="s">
        <v>314</v>
      </c>
      <c r="F146" s="164">
        <v>6550000</v>
      </c>
      <c r="G146" s="164"/>
      <c r="H146" s="165">
        <f t="shared" si="91"/>
        <v>6550000</v>
      </c>
      <c r="I146" s="164"/>
      <c r="J146" s="164"/>
      <c r="K146" s="164"/>
      <c r="L146" s="165">
        <f t="shared" si="92"/>
        <v>0</v>
      </c>
      <c r="M146" s="164">
        <v>2145.6999999999998</v>
      </c>
      <c r="N146" s="164"/>
      <c r="O146" s="165">
        <f t="shared" si="93"/>
        <v>2145.6999999999998</v>
      </c>
      <c r="P146" s="165">
        <f t="shared" si="94"/>
        <v>6547854.2999999998</v>
      </c>
    </row>
    <row r="147" spans="1:16" x14ac:dyDescent="0.25">
      <c r="A147" s="130"/>
      <c r="B147" s="125" t="s">
        <v>234</v>
      </c>
      <c r="C147" s="149"/>
      <c r="D147" s="163">
        <v>20305</v>
      </c>
      <c r="E147" s="132" t="s">
        <v>315</v>
      </c>
      <c r="F147" s="164">
        <v>630000</v>
      </c>
      <c r="G147" s="164">
        <v>0</v>
      </c>
      <c r="H147" s="165">
        <f t="shared" si="91"/>
        <v>630000</v>
      </c>
      <c r="I147" s="164"/>
      <c r="J147" s="164"/>
      <c r="K147" s="164"/>
      <c r="L147" s="165">
        <f t="shared" si="92"/>
        <v>0</v>
      </c>
      <c r="M147" s="164">
        <v>7000.3</v>
      </c>
      <c r="N147" s="164"/>
      <c r="O147" s="165">
        <f t="shared" si="93"/>
        <v>7000.3</v>
      </c>
      <c r="P147" s="165">
        <f t="shared" si="94"/>
        <v>622999.69999999995</v>
      </c>
    </row>
    <row r="148" spans="1:16" x14ac:dyDescent="0.25">
      <c r="A148" s="130"/>
      <c r="B148" s="125" t="s">
        <v>234</v>
      </c>
      <c r="C148" s="149"/>
      <c r="D148" s="163">
        <v>20306</v>
      </c>
      <c r="E148" s="132" t="s">
        <v>316</v>
      </c>
      <c r="F148" s="164">
        <v>5186062</v>
      </c>
      <c r="G148" s="164">
        <v>0</v>
      </c>
      <c r="H148" s="165">
        <f t="shared" si="91"/>
        <v>5186062</v>
      </c>
      <c r="I148" s="164"/>
      <c r="J148" s="164"/>
      <c r="K148" s="164"/>
      <c r="L148" s="165">
        <f t="shared" si="92"/>
        <v>0</v>
      </c>
      <c r="M148" s="164">
        <v>195364.15</v>
      </c>
      <c r="N148" s="164"/>
      <c r="O148" s="165">
        <f t="shared" si="93"/>
        <v>195364.15</v>
      </c>
      <c r="P148" s="165">
        <f t="shared" si="94"/>
        <v>4990697.8499999996</v>
      </c>
    </row>
    <row r="149" spans="1:16" ht="34.5" x14ac:dyDescent="0.25">
      <c r="A149" s="130"/>
      <c r="B149" s="125" t="s">
        <v>234</v>
      </c>
      <c r="C149" s="149"/>
      <c r="D149" s="163">
        <v>20399</v>
      </c>
      <c r="E149" s="132" t="s">
        <v>317</v>
      </c>
      <c r="F149" s="164">
        <v>9069300</v>
      </c>
      <c r="G149" s="164"/>
      <c r="H149" s="165">
        <f t="shared" si="91"/>
        <v>9069300</v>
      </c>
      <c r="I149" s="164"/>
      <c r="J149" s="164"/>
      <c r="K149" s="164"/>
      <c r="L149" s="165">
        <f t="shared" si="92"/>
        <v>0</v>
      </c>
      <c r="M149" s="164">
        <v>71447.289999999994</v>
      </c>
      <c r="N149" s="164"/>
      <c r="O149" s="165">
        <f t="shared" si="93"/>
        <v>71447.289999999994</v>
      </c>
      <c r="P149" s="165">
        <f t="shared" si="94"/>
        <v>8997852.7100000009</v>
      </c>
    </row>
    <row r="150" spans="1:16" x14ac:dyDescent="0.25">
      <c r="A150" s="130"/>
      <c r="B150" s="125"/>
      <c r="C150" s="149"/>
      <c r="D150" s="163"/>
      <c r="E150" s="132"/>
      <c r="F150" s="164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</row>
    <row r="151" spans="1:16" ht="23.25" x14ac:dyDescent="0.25">
      <c r="A151" s="130"/>
      <c r="B151" s="125" t="s">
        <v>234</v>
      </c>
      <c r="C151" s="157"/>
      <c r="D151" s="162">
        <v>204</v>
      </c>
      <c r="E151" s="131" t="s">
        <v>318</v>
      </c>
      <c r="F151" s="159">
        <f>SUM(F152:F153)</f>
        <v>46277523</v>
      </c>
      <c r="G151" s="172">
        <f t="shared" ref="G151:P151" si="95">(G152+G153)</f>
        <v>0</v>
      </c>
      <c r="H151" s="172">
        <f t="shared" si="95"/>
        <v>46277523</v>
      </c>
      <c r="I151" s="172">
        <f t="shared" si="95"/>
        <v>0</v>
      </c>
      <c r="J151" s="172">
        <f t="shared" si="95"/>
        <v>0</v>
      </c>
      <c r="K151" s="172">
        <f t="shared" si="95"/>
        <v>0</v>
      </c>
      <c r="L151" s="172">
        <f t="shared" ref="L151" si="96">(L152+L153)</f>
        <v>0</v>
      </c>
      <c r="M151" s="172">
        <f t="shared" si="95"/>
        <v>854613.01</v>
      </c>
      <c r="N151" s="172">
        <f t="shared" si="95"/>
        <v>0</v>
      </c>
      <c r="O151" s="172">
        <f t="shared" si="95"/>
        <v>854613.01</v>
      </c>
      <c r="P151" s="172">
        <f t="shared" si="95"/>
        <v>45422909.989999995</v>
      </c>
    </row>
    <row r="152" spans="1:16" x14ac:dyDescent="0.25">
      <c r="A152" s="130"/>
      <c r="B152" s="125" t="s">
        <v>234</v>
      </c>
      <c r="C152" s="149"/>
      <c r="D152" s="163">
        <v>20401</v>
      </c>
      <c r="E152" s="132" t="s">
        <v>319</v>
      </c>
      <c r="F152" s="164">
        <v>4131000</v>
      </c>
      <c r="G152" s="164"/>
      <c r="H152" s="165">
        <f>+F152+G152</f>
        <v>4131000</v>
      </c>
      <c r="I152" s="164"/>
      <c r="J152" s="164"/>
      <c r="K152" s="164"/>
      <c r="L152" s="165">
        <f t="shared" ref="L152:L153" si="97">+I152+J152+K152</f>
        <v>0</v>
      </c>
      <c r="M152" s="164">
        <v>99146.67</v>
      </c>
      <c r="N152" s="164"/>
      <c r="O152" s="165">
        <f>+L152+M152</f>
        <v>99146.67</v>
      </c>
      <c r="P152" s="165">
        <f t="shared" ref="P152:P153" si="98">+H152-O152-N152</f>
        <v>4031853.33</v>
      </c>
    </row>
    <row r="153" spans="1:16" x14ac:dyDescent="0.25">
      <c r="A153" s="130"/>
      <c r="B153" s="125" t="s">
        <v>234</v>
      </c>
      <c r="C153" s="149"/>
      <c r="D153" s="163">
        <v>20402</v>
      </c>
      <c r="E153" s="132" t="s">
        <v>320</v>
      </c>
      <c r="F153" s="164">
        <v>42146523</v>
      </c>
      <c r="G153" s="164"/>
      <c r="H153" s="165">
        <f>+F153+G153</f>
        <v>42146523</v>
      </c>
      <c r="I153" s="164"/>
      <c r="J153" s="164"/>
      <c r="K153" s="164"/>
      <c r="L153" s="165">
        <f t="shared" si="97"/>
        <v>0</v>
      </c>
      <c r="M153" s="164">
        <v>755466.34</v>
      </c>
      <c r="N153" s="164"/>
      <c r="O153" s="165">
        <f>+L153+M153</f>
        <v>755466.34</v>
      </c>
      <c r="P153" s="165">
        <f t="shared" si="98"/>
        <v>41391056.659999996</v>
      </c>
    </row>
    <row r="154" spans="1:16" x14ac:dyDescent="0.25">
      <c r="A154" s="130"/>
      <c r="B154" s="125"/>
      <c r="C154" s="149"/>
      <c r="D154" s="163"/>
      <c r="E154" s="132"/>
      <c r="F154" s="164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</row>
    <row r="155" spans="1:16" ht="23.25" hidden="1" x14ac:dyDescent="0.25">
      <c r="A155" s="130"/>
      <c r="B155" s="125" t="s">
        <v>234</v>
      </c>
      <c r="C155" s="157"/>
      <c r="D155" s="162">
        <v>205</v>
      </c>
      <c r="E155" s="131" t="s">
        <v>321</v>
      </c>
      <c r="F155" s="159">
        <f>SUM(F156:F159)</f>
        <v>0</v>
      </c>
      <c r="G155" s="165">
        <f t="shared" ref="G155:P155" si="99">(G156+G157+G158+G159)</f>
        <v>0</v>
      </c>
      <c r="H155" s="165">
        <f t="shared" si="99"/>
        <v>0</v>
      </c>
      <c r="I155" s="165">
        <f t="shared" si="99"/>
        <v>0</v>
      </c>
      <c r="J155" s="165">
        <f t="shared" si="99"/>
        <v>0</v>
      </c>
      <c r="K155" s="165">
        <f t="shared" si="99"/>
        <v>0</v>
      </c>
      <c r="L155" s="165">
        <f t="shared" ref="L155" si="100">(L156+L157+L158+L159)</f>
        <v>0</v>
      </c>
      <c r="M155" s="165">
        <f t="shared" si="99"/>
        <v>0</v>
      </c>
      <c r="N155" s="165"/>
      <c r="O155" s="165">
        <f t="shared" si="99"/>
        <v>0</v>
      </c>
      <c r="P155" s="165">
        <f t="shared" si="99"/>
        <v>0</v>
      </c>
    </row>
    <row r="156" spans="1:16" hidden="1" x14ac:dyDescent="0.25">
      <c r="A156" s="130"/>
      <c r="B156" s="125" t="s">
        <v>234</v>
      </c>
      <c r="C156" s="149"/>
      <c r="D156" s="163">
        <v>20501</v>
      </c>
      <c r="E156" s="132" t="s">
        <v>322</v>
      </c>
      <c r="F156" s="164">
        <v>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/>
      <c r="O156" s="165">
        <v>0</v>
      </c>
      <c r="P156" s="165">
        <v>0</v>
      </c>
    </row>
    <row r="157" spans="1:16" hidden="1" x14ac:dyDescent="0.25">
      <c r="A157" s="130"/>
      <c r="B157" s="125" t="s">
        <v>234</v>
      </c>
      <c r="C157" s="149"/>
      <c r="D157" s="163">
        <v>20502</v>
      </c>
      <c r="E157" s="132" t="s">
        <v>323</v>
      </c>
      <c r="F157" s="164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65">
        <v>0</v>
      </c>
      <c r="M157" s="165">
        <v>0</v>
      </c>
      <c r="N157" s="165"/>
      <c r="O157" s="165">
        <v>0</v>
      </c>
      <c r="P157" s="165">
        <v>0</v>
      </c>
    </row>
    <row r="158" spans="1:16" hidden="1" x14ac:dyDescent="0.25">
      <c r="A158" s="130"/>
      <c r="B158" s="125" t="s">
        <v>234</v>
      </c>
      <c r="C158" s="149"/>
      <c r="D158" s="163">
        <v>20503</v>
      </c>
      <c r="E158" s="132" t="s">
        <v>324</v>
      </c>
      <c r="F158" s="164">
        <v>0</v>
      </c>
      <c r="G158" s="165">
        <v>0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5">
        <v>0</v>
      </c>
      <c r="N158" s="165"/>
      <c r="O158" s="165">
        <v>0</v>
      </c>
      <c r="P158" s="165">
        <v>0</v>
      </c>
    </row>
    <row r="159" spans="1:16" ht="23.25" hidden="1" x14ac:dyDescent="0.25">
      <c r="A159" s="130"/>
      <c r="B159" s="125" t="s">
        <v>234</v>
      </c>
      <c r="C159" s="149"/>
      <c r="D159" s="163">
        <v>20599</v>
      </c>
      <c r="E159" s="132" t="s">
        <v>325</v>
      </c>
      <c r="F159" s="164">
        <v>0</v>
      </c>
      <c r="G159" s="165">
        <v>0</v>
      </c>
      <c r="H159" s="165">
        <v>0</v>
      </c>
      <c r="I159" s="165">
        <v>0</v>
      </c>
      <c r="J159" s="165">
        <v>0</v>
      </c>
      <c r="K159" s="165">
        <v>0</v>
      </c>
      <c r="L159" s="165">
        <v>0</v>
      </c>
      <c r="M159" s="165">
        <v>0</v>
      </c>
      <c r="N159" s="165"/>
      <c r="O159" s="165">
        <v>0</v>
      </c>
      <c r="P159" s="165">
        <v>0</v>
      </c>
    </row>
    <row r="160" spans="1:16" x14ac:dyDescent="0.25">
      <c r="A160" s="130"/>
      <c r="B160" s="125"/>
      <c r="C160" s="149"/>
      <c r="D160" s="163"/>
      <c r="E160" s="132"/>
      <c r="F160" s="164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</row>
    <row r="161" spans="1:16" ht="23.25" x14ac:dyDescent="0.25">
      <c r="A161" s="130"/>
      <c r="B161" s="125" t="s">
        <v>234</v>
      </c>
      <c r="C161" s="157"/>
      <c r="D161" s="162">
        <v>299</v>
      </c>
      <c r="E161" s="131" t="s">
        <v>326</v>
      </c>
      <c r="F161" s="159">
        <f>SUM(F162:F169)</f>
        <v>42482550</v>
      </c>
      <c r="G161" s="159">
        <f t="shared" ref="G161:P161" si="101">SUM(G162:G169)</f>
        <v>0</v>
      </c>
      <c r="H161" s="159">
        <f t="shared" si="101"/>
        <v>42482550</v>
      </c>
      <c r="I161" s="159">
        <f t="shared" si="101"/>
        <v>0</v>
      </c>
      <c r="J161" s="159">
        <f t="shared" si="101"/>
        <v>0</v>
      </c>
      <c r="K161" s="159">
        <f t="shared" si="101"/>
        <v>0</v>
      </c>
      <c r="L161" s="159">
        <f t="shared" ref="L161" si="102">SUM(L162:L169)</f>
        <v>0</v>
      </c>
      <c r="M161" s="159">
        <f t="shared" si="101"/>
        <v>2163680.7700000005</v>
      </c>
      <c r="N161" s="159">
        <f t="shared" si="101"/>
        <v>0</v>
      </c>
      <c r="O161" s="172">
        <f t="shared" si="101"/>
        <v>2163680.7700000005</v>
      </c>
      <c r="P161" s="159">
        <f t="shared" si="101"/>
        <v>40318869.230000004</v>
      </c>
    </row>
    <row r="162" spans="1:16" ht="23.25" x14ac:dyDescent="0.25">
      <c r="A162" s="130"/>
      <c r="B162" s="125" t="s">
        <v>234</v>
      </c>
      <c r="C162" s="149"/>
      <c r="D162" s="163">
        <v>29901</v>
      </c>
      <c r="E162" s="132" t="s">
        <v>327</v>
      </c>
      <c r="F162" s="164">
        <v>595000</v>
      </c>
      <c r="G162" s="164">
        <v>0</v>
      </c>
      <c r="H162" s="165">
        <f t="shared" ref="H162:H169" si="103">+F162+G162</f>
        <v>595000</v>
      </c>
      <c r="I162" s="164"/>
      <c r="J162" s="164"/>
      <c r="K162" s="164"/>
      <c r="L162" s="165">
        <f t="shared" ref="L162:L169" si="104">+I162+J162+K162</f>
        <v>0</v>
      </c>
      <c r="M162" s="164"/>
      <c r="N162" s="164"/>
      <c r="O162" s="165">
        <f t="shared" ref="O162:O169" si="105">+L162+M162</f>
        <v>0</v>
      </c>
      <c r="P162" s="165">
        <f t="shared" ref="P162:P169" si="106">+H162-O162-N162</f>
        <v>595000</v>
      </c>
    </row>
    <row r="163" spans="1:16" ht="25.9" customHeight="1" x14ac:dyDescent="0.25">
      <c r="A163" s="130"/>
      <c r="B163" s="125" t="s">
        <v>234</v>
      </c>
      <c r="C163" s="149"/>
      <c r="D163" s="163">
        <v>29902</v>
      </c>
      <c r="E163" s="132" t="s">
        <v>328</v>
      </c>
      <c r="F163" s="164"/>
      <c r="G163" s="164"/>
      <c r="H163" s="165">
        <f t="shared" si="103"/>
        <v>0</v>
      </c>
      <c r="I163" s="164"/>
      <c r="J163" s="164"/>
      <c r="K163" s="164"/>
      <c r="L163" s="165">
        <f t="shared" si="104"/>
        <v>0</v>
      </c>
      <c r="M163" s="164"/>
      <c r="N163" s="164"/>
      <c r="O163" s="165">
        <f t="shared" si="105"/>
        <v>0</v>
      </c>
      <c r="P163" s="165">
        <f t="shared" si="106"/>
        <v>0</v>
      </c>
    </row>
    <row r="164" spans="1:16" ht="23.25" x14ac:dyDescent="0.25">
      <c r="A164" s="130"/>
      <c r="B164" s="125" t="s">
        <v>234</v>
      </c>
      <c r="C164" s="149"/>
      <c r="D164" s="163">
        <v>29903</v>
      </c>
      <c r="E164" s="132" t="s">
        <v>329</v>
      </c>
      <c r="F164" s="164">
        <v>4969750</v>
      </c>
      <c r="G164" s="164">
        <v>0</v>
      </c>
      <c r="H164" s="165">
        <f t="shared" si="103"/>
        <v>4969750</v>
      </c>
      <c r="I164" s="164"/>
      <c r="J164" s="164"/>
      <c r="K164" s="164"/>
      <c r="L164" s="165">
        <f t="shared" si="104"/>
        <v>0</v>
      </c>
      <c r="M164" s="164">
        <v>74735.240000000005</v>
      </c>
      <c r="N164" s="164"/>
      <c r="O164" s="165">
        <f t="shared" si="105"/>
        <v>74735.240000000005</v>
      </c>
      <c r="P164" s="165">
        <f t="shared" si="106"/>
        <v>4895014.76</v>
      </c>
    </row>
    <row r="165" spans="1:16" x14ac:dyDescent="0.25">
      <c r="A165" s="130"/>
      <c r="B165" s="125" t="s">
        <v>234</v>
      </c>
      <c r="C165" s="149"/>
      <c r="D165" s="163">
        <v>29904</v>
      </c>
      <c r="E165" s="132" t="s">
        <v>330</v>
      </c>
      <c r="F165" s="164">
        <v>4080000</v>
      </c>
      <c r="G165" s="164"/>
      <c r="H165" s="165">
        <f t="shared" si="103"/>
        <v>4080000</v>
      </c>
      <c r="I165" s="164"/>
      <c r="J165" s="164"/>
      <c r="K165" s="164"/>
      <c r="L165" s="165">
        <f t="shared" si="104"/>
        <v>0</v>
      </c>
      <c r="M165" s="164">
        <v>2038945.58</v>
      </c>
      <c r="N165" s="164"/>
      <c r="O165" s="165">
        <f t="shared" si="105"/>
        <v>2038945.58</v>
      </c>
      <c r="P165" s="165">
        <f t="shared" si="106"/>
        <v>2041054.42</v>
      </c>
    </row>
    <row r="166" spans="1:16" x14ac:dyDescent="0.25">
      <c r="A166" s="130"/>
      <c r="B166" s="125" t="s">
        <v>234</v>
      </c>
      <c r="C166" s="149"/>
      <c r="D166" s="163">
        <v>29905</v>
      </c>
      <c r="E166" s="132" t="s">
        <v>331</v>
      </c>
      <c r="F166" s="164">
        <v>3765000</v>
      </c>
      <c r="G166" s="164">
        <v>0</v>
      </c>
      <c r="H166" s="165">
        <f t="shared" si="103"/>
        <v>3765000</v>
      </c>
      <c r="I166" s="164"/>
      <c r="J166" s="164"/>
      <c r="K166" s="164"/>
      <c r="L166" s="165">
        <f t="shared" si="104"/>
        <v>0</v>
      </c>
      <c r="M166" s="164"/>
      <c r="N166" s="164"/>
      <c r="O166" s="165">
        <f t="shared" si="105"/>
        <v>0</v>
      </c>
      <c r="P166" s="165">
        <f t="shared" si="106"/>
        <v>3765000</v>
      </c>
    </row>
    <row r="167" spans="1:16" ht="23.25" x14ac:dyDescent="0.25">
      <c r="A167" s="130"/>
      <c r="B167" s="125" t="s">
        <v>234</v>
      </c>
      <c r="C167" s="149"/>
      <c r="D167" s="163">
        <v>29906</v>
      </c>
      <c r="E167" s="132" t="s">
        <v>332</v>
      </c>
      <c r="F167" s="164">
        <v>975000</v>
      </c>
      <c r="G167" s="164"/>
      <c r="H167" s="165">
        <f t="shared" si="103"/>
        <v>975000</v>
      </c>
      <c r="I167" s="164"/>
      <c r="J167" s="164"/>
      <c r="K167" s="164"/>
      <c r="L167" s="165">
        <f t="shared" si="104"/>
        <v>0</v>
      </c>
      <c r="M167" s="164"/>
      <c r="N167" s="164"/>
      <c r="O167" s="165">
        <f t="shared" si="105"/>
        <v>0</v>
      </c>
      <c r="P167" s="165">
        <f t="shared" si="106"/>
        <v>975000</v>
      </c>
    </row>
    <row r="168" spans="1:16" ht="23.25" x14ac:dyDescent="0.25">
      <c r="A168" s="130"/>
      <c r="B168" s="125" t="s">
        <v>234</v>
      </c>
      <c r="C168" s="149"/>
      <c r="D168" s="163">
        <v>29907</v>
      </c>
      <c r="E168" s="132" t="s">
        <v>333</v>
      </c>
      <c r="F168" s="164">
        <v>126000</v>
      </c>
      <c r="G168" s="164">
        <v>0</v>
      </c>
      <c r="H168" s="165">
        <f t="shared" si="103"/>
        <v>126000</v>
      </c>
      <c r="I168" s="164"/>
      <c r="J168" s="164"/>
      <c r="K168" s="164"/>
      <c r="L168" s="165">
        <f t="shared" si="104"/>
        <v>0</v>
      </c>
      <c r="M168" s="164"/>
      <c r="N168" s="164"/>
      <c r="O168" s="165">
        <f t="shared" si="105"/>
        <v>0</v>
      </c>
      <c r="P168" s="165">
        <f t="shared" si="106"/>
        <v>126000</v>
      </c>
    </row>
    <row r="169" spans="1:16" ht="23.25" x14ac:dyDescent="0.25">
      <c r="A169" s="130"/>
      <c r="B169" s="125" t="s">
        <v>234</v>
      </c>
      <c r="C169" s="149"/>
      <c r="D169" s="163">
        <v>29999</v>
      </c>
      <c r="E169" s="132" t="s">
        <v>334</v>
      </c>
      <c r="F169" s="164">
        <v>27971800</v>
      </c>
      <c r="G169" s="164">
        <v>0</v>
      </c>
      <c r="H169" s="165">
        <f t="shared" si="103"/>
        <v>27971800</v>
      </c>
      <c r="I169" s="164"/>
      <c r="J169" s="164"/>
      <c r="K169" s="164"/>
      <c r="L169" s="165">
        <f t="shared" si="104"/>
        <v>0</v>
      </c>
      <c r="M169" s="164">
        <v>49999.95</v>
      </c>
      <c r="N169" s="164"/>
      <c r="O169" s="165">
        <f t="shared" si="105"/>
        <v>49999.95</v>
      </c>
      <c r="P169" s="165">
        <f t="shared" si="106"/>
        <v>27921800.050000001</v>
      </c>
    </row>
    <row r="170" spans="1:16" x14ac:dyDescent="0.25">
      <c r="A170" s="130"/>
      <c r="B170" s="125"/>
      <c r="C170" s="149"/>
      <c r="D170" s="163"/>
      <c r="E170" s="132"/>
      <c r="F170" s="164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</row>
    <row r="171" spans="1:16" hidden="1" x14ac:dyDescent="0.25">
      <c r="A171" s="130" t="s">
        <v>345</v>
      </c>
      <c r="B171" s="125"/>
      <c r="C171" s="157"/>
      <c r="D171" s="177">
        <v>3</v>
      </c>
      <c r="E171" s="128" t="s">
        <v>335</v>
      </c>
      <c r="F171" s="159">
        <f t="shared" ref="F171:P171" si="107">(F173+F186+F190+F199+F203+F206+F210+F213)</f>
        <v>0</v>
      </c>
      <c r="G171" s="165">
        <f t="shared" si="107"/>
        <v>0</v>
      </c>
      <c r="H171" s="165">
        <f t="shared" si="107"/>
        <v>0</v>
      </c>
      <c r="I171" s="165">
        <f t="shared" si="107"/>
        <v>0</v>
      </c>
      <c r="J171" s="165">
        <f t="shared" si="107"/>
        <v>0</v>
      </c>
      <c r="K171" s="165">
        <f t="shared" si="107"/>
        <v>0</v>
      </c>
      <c r="L171" s="165">
        <f t="shared" ref="L171" si="108">(L173+L186+L190+L199+L203+L206+L210+L213)</f>
        <v>0</v>
      </c>
      <c r="M171" s="165">
        <f t="shared" si="107"/>
        <v>0</v>
      </c>
      <c r="N171" s="165"/>
      <c r="O171" s="165">
        <f t="shared" si="107"/>
        <v>0</v>
      </c>
      <c r="P171" s="165">
        <f t="shared" si="107"/>
        <v>0</v>
      </c>
    </row>
    <row r="172" spans="1:16" hidden="1" x14ac:dyDescent="0.25">
      <c r="A172" s="130"/>
      <c r="B172" s="125"/>
      <c r="C172" s="157"/>
      <c r="D172" s="177"/>
      <c r="E172" s="128"/>
      <c r="F172" s="159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</row>
    <row r="173" spans="1:16" hidden="1" x14ac:dyDescent="0.25">
      <c r="A173" s="130"/>
      <c r="B173" s="125" t="s">
        <v>234</v>
      </c>
      <c r="C173" s="157"/>
      <c r="D173" s="177">
        <v>3.04</v>
      </c>
      <c r="E173" s="128" t="s">
        <v>336</v>
      </c>
      <c r="F173" s="159">
        <f t="shared" ref="F173:P173" si="109">(F174+F175+F176+F177)</f>
        <v>0</v>
      </c>
      <c r="G173" s="165">
        <f t="shared" si="109"/>
        <v>0</v>
      </c>
      <c r="H173" s="165">
        <f t="shared" si="109"/>
        <v>0</v>
      </c>
      <c r="I173" s="165">
        <f t="shared" si="109"/>
        <v>0</v>
      </c>
      <c r="J173" s="165">
        <f t="shared" si="109"/>
        <v>0</v>
      </c>
      <c r="K173" s="165">
        <f t="shared" si="109"/>
        <v>0</v>
      </c>
      <c r="L173" s="165">
        <f t="shared" ref="L173" si="110">(L174+L175+L176+L177)</f>
        <v>0</v>
      </c>
      <c r="M173" s="165">
        <f t="shared" si="109"/>
        <v>0</v>
      </c>
      <c r="N173" s="165"/>
      <c r="O173" s="165">
        <f t="shared" si="109"/>
        <v>0</v>
      </c>
      <c r="P173" s="165">
        <f t="shared" si="109"/>
        <v>0</v>
      </c>
    </row>
    <row r="174" spans="1:16" ht="23.25" hidden="1" x14ac:dyDescent="0.25">
      <c r="A174" s="130"/>
      <c r="B174" s="125" t="s">
        <v>234</v>
      </c>
      <c r="C174" s="149"/>
      <c r="D174" s="163">
        <v>30401</v>
      </c>
      <c r="E174" s="132" t="s">
        <v>337</v>
      </c>
      <c r="F174" s="164">
        <v>0</v>
      </c>
      <c r="G174" s="165">
        <v>0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5">
        <v>0</v>
      </c>
      <c r="N174" s="165"/>
      <c r="O174" s="165">
        <v>0</v>
      </c>
      <c r="P174" s="165">
        <v>0</v>
      </c>
    </row>
    <row r="175" spans="1:16" ht="23.25" hidden="1" x14ac:dyDescent="0.25">
      <c r="A175" s="130"/>
      <c r="B175" s="125" t="s">
        <v>234</v>
      </c>
      <c r="C175" s="149"/>
      <c r="D175" s="163">
        <v>30402</v>
      </c>
      <c r="E175" s="132" t="s">
        <v>338</v>
      </c>
      <c r="F175" s="164">
        <v>0</v>
      </c>
      <c r="G175" s="165">
        <v>0</v>
      </c>
      <c r="H175" s="165">
        <v>0</v>
      </c>
      <c r="I175" s="165">
        <v>0</v>
      </c>
      <c r="J175" s="165">
        <v>0</v>
      </c>
      <c r="K175" s="165">
        <v>0</v>
      </c>
      <c r="L175" s="165">
        <v>0</v>
      </c>
      <c r="M175" s="165">
        <v>0</v>
      </c>
      <c r="N175" s="165"/>
      <c r="O175" s="165">
        <v>0</v>
      </c>
      <c r="P175" s="165">
        <v>0</v>
      </c>
    </row>
    <row r="176" spans="1:16" ht="23.25" hidden="1" x14ac:dyDescent="0.25">
      <c r="A176" s="130"/>
      <c r="B176" s="125" t="s">
        <v>234</v>
      </c>
      <c r="C176" s="149"/>
      <c r="D176" s="163">
        <v>30403</v>
      </c>
      <c r="E176" s="132" t="s">
        <v>339</v>
      </c>
      <c r="F176" s="164">
        <v>0</v>
      </c>
      <c r="G176" s="165">
        <v>0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5">
        <v>0</v>
      </c>
      <c r="N176" s="165"/>
      <c r="O176" s="165">
        <v>0</v>
      </c>
      <c r="P176" s="165">
        <v>0</v>
      </c>
    </row>
    <row r="177" spans="1:16" ht="23.25" hidden="1" x14ac:dyDescent="0.25">
      <c r="A177" s="130"/>
      <c r="B177" s="125" t="s">
        <v>234</v>
      </c>
      <c r="C177" s="149"/>
      <c r="D177" s="163">
        <v>30404</v>
      </c>
      <c r="E177" s="132" t="s">
        <v>340</v>
      </c>
      <c r="F177" s="164">
        <v>0</v>
      </c>
      <c r="G177" s="165">
        <v>0</v>
      </c>
      <c r="H177" s="165">
        <v>0</v>
      </c>
      <c r="I177" s="165">
        <v>0</v>
      </c>
      <c r="J177" s="165">
        <v>0</v>
      </c>
      <c r="K177" s="165">
        <v>0</v>
      </c>
      <c r="L177" s="165">
        <v>0</v>
      </c>
      <c r="M177" s="165">
        <v>0</v>
      </c>
      <c r="N177" s="165"/>
      <c r="O177" s="165">
        <v>0</v>
      </c>
      <c r="P177" s="165">
        <v>0</v>
      </c>
    </row>
    <row r="178" spans="1:16" hidden="1" x14ac:dyDescent="0.25">
      <c r="A178" s="130"/>
      <c r="B178" s="125"/>
      <c r="C178" s="149"/>
      <c r="D178" s="163"/>
      <c r="E178" s="132"/>
      <c r="F178" s="164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</row>
    <row r="179" spans="1:16" hidden="1" x14ac:dyDescent="0.25">
      <c r="A179" s="130"/>
      <c r="B179" s="125"/>
      <c r="C179" s="149"/>
      <c r="D179" s="177">
        <v>9</v>
      </c>
      <c r="E179" s="128" t="s">
        <v>341</v>
      </c>
      <c r="F179" s="159">
        <f t="shared" ref="F179:P179" si="111">(F181+F381)</f>
        <v>0</v>
      </c>
      <c r="G179" s="165">
        <f t="shared" si="111"/>
        <v>0</v>
      </c>
      <c r="H179" s="165">
        <f t="shared" si="111"/>
        <v>0</v>
      </c>
      <c r="I179" s="165">
        <f t="shared" si="111"/>
        <v>0</v>
      </c>
      <c r="J179" s="165">
        <f t="shared" si="111"/>
        <v>0</v>
      </c>
      <c r="K179" s="165">
        <f t="shared" si="111"/>
        <v>0</v>
      </c>
      <c r="L179" s="165">
        <f t="shared" ref="L179" si="112">(L181+L381)</f>
        <v>0</v>
      </c>
      <c r="M179" s="165">
        <f t="shared" si="111"/>
        <v>0</v>
      </c>
      <c r="N179" s="165"/>
      <c r="O179" s="165">
        <f t="shared" si="111"/>
        <v>0</v>
      </c>
      <c r="P179" s="165">
        <f t="shared" si="111"/>
        <v>0</v>
      </c>
    </row>
    <row r="180" spans="1:16" hidden="1" x14ac:dyDescent="0.25">
      <c r="A180" s="130"/>
      <c r="B180" s="125"/>
      <c r="C180" s="149"/>
      <c r="D180" s="177"/>
      <c r="E180" s="128"/>
      <c r="F180" s="159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</row>
    <row r="181" spans="1:16" hidden="1" x14ac:dyDescent="0.25">
      <c r="A181" s="130"/>
      <c r="B181" s="125" t="s">
        <v>234</v>
      </c>
      <c r="C181" s="157"/>
      <c r="D181" s="177">
        <v>9.01</v>
      </c>
      <c r="E181" s="128" t="s">
        <v>342</v>
      </c>
      <c r="F181" s="159">
        <f t="shared" ref="F181:P181" si="113">(F182)</f>
        <v>0</v>
      </c>
      <c r="G181" s="165">
        <f t="shared" si="113"/>
        <v>0</v>
      </c>
      <c r="H181" s="165">
        <f t="shared" si="113"/>
        <v>0</v>
      </c>
      <c r="I181" s="165">
        <f t="shared" si="113"/>
        <v>0</v>
      </c>
      <c r="J181" s="165">
        <f t="shared" si="113"/>
        <v>0</v>
      </c>
      <c r="K181" s="165">
        <f t="shared" si="113"/>
        <v>0</v>
      </c>
      <c r="L181" s="165">
        <f t="shared" si="113"/>
        <v>0</v>
      </c>
      <c r="M181" s="165">
        <f t="shared" si="113"/>
        <v>0</v>
      </c>
      <c r="N181" s="165"/>
      <c r="O181" s="165">
        <f t="shared" si="113"/>
        <v>0</v>
      </c>
      <c r="P181" s="165">
        <f t="shared" si="113"/>
        <v>0</v>
      </c>
    </row>
    <row r="182" spans="1:16" hidden="1" x14ac:dyDescent="0.25">
      <c r="A182" s="137"/>
      <c r="B182" s="125" t="s">
        <v>234</v>
      </c>
      <c r="C182" s="149"/>
      <c r="D182" s="163" t="s">
        <v>343</v>
      </c>
      <c r="E182" s="132" t="s">
        <v>344</v>
      </c>
      <c r="F182" s="164">
        <v>0</v>
      </c>
      <c r="G182" s="165">
        <v>0</v>
      </c>
      <c r="H182" s="165">
        <v>0</v>
      </c>
      <c r="I182" s="165">
        <v>0</v>
      </c>
      <c r="J182" s="165">
        <v>0</v>
      </c>
      <c r="K182" s="165">
        <v>0</v>
      </c>
      <c r="L182" s="165">
        <v>0</v>
      </c>
      <c r="M182" s="165">
        <v>0</v>
      </c>
      <c r="N182" s="165"/>
      <c r="O182" s="165">
        <v>0</v>
      </c>
      <c r="P182" s="165">
        <v>0</v>
      </c>
    </row>
    <row r="183" spans="1:16" hidden="1" x14ac:dyDescent="0.25">
      <c r="A183" s="134"/>
      <c r="B183" s="178"/>
      <c r="C183" s="179"/>
      <c r="D183" s="163"/>
      <c r="E183" s="132"/>
      <c r="F183" s="164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</row>
    <row r="184" spans="1:16" hidden="1" x14ac:dyDescent="0.25">
      <c r="A184" s="130" t="s">
        <v>347</v>
      </c>
      <c r="B184" s="125"/>
      <c r="C184" s="157">
        <f>+C185+B190</f>
        <v>0</v>
      </c>
      <c r="D184" s="134"/>
      <c r="E184" s="134"/>
      <c r="F184" s="180"/>
      <c r="G184" s="180"/>
      <c r="H184" s="180"/>
      <c r="I184" s="180"/>
      <c r="J184" s="180"/>
      <c r="K184" s="180"/>
      <c r="L184" s="180"/>
      <c r="M184" s="180"/>
      <c r="N184" s="180"/>
      <c r="O184" s="230"/>
      <c r="P184" s="180"/>
    </row>
    <row r="185" spans="1:16" hidden="1" x14ac:dyDescent="0.25">
      <c r="A185" s="130"/>
      <c r="B185" s="125"/>
      <c r="C185" s="157">
        <f>+F186+F190+F199+F203</f>
        <v>0</v>
      </c>
      <c r="D185" s="158">
        <v>3.04</v>
      </c>
      <c r="E185" s="128" t="s">
        <v>346</v>
      </c>
      <c r="F185" s="159">
        <f t="shared" ref="F185:P185" si="114">+F186+F190</f>
        <v>0</v>
      </c>
      <c r="G185" s="165">
        <f t="shared" si="114"/>
        <v>0</v>
      </c>
      <c r="H185" s="165">
        <f t="shared" si="114"/>
        <v>0</v>
      </c>
      <c r="I185" s="165">
        <f t="shared" si="114"/>
        <v>0</v>
      </c>
      <c r="J185" s="165">
        <f t="shared" si="114"/>
        <v>0</v>
      </c>
      <c r="K185" s="165">
        <f t="shared" si="114"/>
        <v>0</v>
      </c>
      <c r="L185" s="165">
        <f t="shared" ref="L185" si="115">+L186+L190</f>
        <v>0</v>
      </c>
      <c r="M185" s="165">
        <f t="shared" si="114"/>
        <v>0</v>
      </c>
      <c r="N185" s="165"/>
      <c r="O185" s="165">
        <f t="shared" si="114"/>
        <v>0</v>
      </c>
      <c r="P185" s="165">
        <f t="shared" si="114"/>
        <v>0</v>
      </c>
    </row>
    <row r="186" spans="1:16" ht="23.25" hidden="1" x14ac:dyDescent="0.25">
      <c r="A186" s="130"/>
      <c r="B186" s="125"/>
      <c r="C186" s="149"/>
      <c r="D186" s="158">
        <v>3.04</v>
      </c>
      <c r="E186" s="128" t="s">
        <v>348</v>
      </c>
      <c r="F186" s="159">
        <f t="shared" ref="F186:P186" si="116">(F187+F188)</f>
        <v>0</v>
      </c>
      <c r="G186" s="165">
        <f t="shared" si="116"/>
        <v>0</v>
      </c>
      <c r="H186" s="165">
        <f t="shared" si="116"/>
        <v>0</v>
      </c>
      <c r="I186" s="165">
        <f t="shared" si="116"/>
        <v>0</v>
      </c>
      <c r="J186" s="165">
        <f t="shared" si="116"/>
        <v>0</v>
      </c>
      <c r="K186" s="165">
        <f t="shared" si="116"/>
        <v>0</v>
      </c>
      <c r="L186" s="165">
        <f t="shared" ref="L186" si="117">(L187+L188)</f>
        <v>0</v>
      </c>
      <c r="M186" s="165">
        <f t="shared" si="116"/>
        <v>0</v>
      </c>
      <c r="N186" s="165"/>
      <c r="O186" s="165">
        <f t="shared" si="116"/>
        <v>0</v>
      </c>
      <c r="P186" s="165">
        <f t="shared" si="116"/>
        <v>0</v>
      </c>
    </row>
    <row r="187" spans="1:16" ht="23.25" hidden="1" x14ac:dyDescent="0.25">
      <c r="A187" s="130"/>
      <c r="B187" s="125" t="s">
        <v>349</v>
      </c>
      <c r="C187" s="149"/>
      <c r="D187" s="163">
        <v>30101</v>
      </c>
      <c r="E187" s="132" t="s">
        <v>350</v>
      </c>
      <c r="F187" s="164">
        <v>0</v>
      </c>
      <c r="G187" s="16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65"/>
      <c r="O187" s="165">
        <v>0</v>
      </c>
      <c r="P187" s="165">
        <v>0</v>
      </c>
    </row>
    <row r="188" spans="1:16" ht="23.25" hidden="1" x14ac:dyDescent="0.25">
      <c r="A188" s="130"/>
      <c r="B188" s="125" t="s">
        <v>349</v>
      </c>
      <c r="C188" s="149"/>
      <c r="D188" s="163">
        <v>30102</v>
      </c>
      <c r="E188" s="132" t="s">
        <v>351</v>
      </c>
      <c r="F188" s="164">
        <v>0</v>
      </c>
      <c r="G188" s="165">
        <v>0</v>
      </c>
      <c r="H188" s="165">
        <v>0</v>
      </c>
      <c r="I188" s="165">
        <v>0</v>
      </c>
      <c r="J188" s="165">
        <v>0</v>
      </c>
      <c r="K188" s="165">
        <v>0</v>
      </c>
      <c r="L188" s="165">
        <v>0</v>
      </c>
      <c r="M188" s="165">
        <v>0</v>
      </c>
      <c r="N188" s="165"/>
      <c r="O188" s="165">
        <v>0</v>
      </c>
      <c r="P188" s="165">
        <v>0</v>
      </c>
    </row>
    <row r="189" spans="1:16" hidden="1" x14ac:dyDescent="0.25">
      <c r="A189" s="130"/>
      <c r="B189" s="125"/>
      <c r="C189" s="149"/>
      <c r="D189" s="163"/>
      <c r="E189" s="132"/>
      <c r="F189" s="164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</row>
    <row r="190" spans="1:16" hidden="1" x14ac:dyDescent="0.25">
      <c r="A190" s="130"/>
      <c r="B190" s="125"/>
      <c r="C190" s="149"/>
      <c r="D190" s="177">
        <v>3.02</v>
      </c>
      <c r="E190" s="128" t="s">
        <v>352</v>
      </c>
      <c r="F190" s="159">
        <f t="shared" ref="F190:P190" si="118">(F191+F192+F193+F194+F195+F196+F197)</f>
        <v>0</v>
      </c>
      <c r="G190" s="165">
        <f t="shared" si="118"/>
        <v>0</v>
      </c>
      <c r="H190" s="165">
        <f t="shared" si="118"/>
        <v>0</v>
      </c>
      <c r="I190" s="165">
        <f t="shared" si="118"/>
        <v>0</v>
      </c>
      <c r="J190" s="165">
        <f t="shared" si="118"/>
        <v>0</v>
      </c>
      <c r="K190" s="165">
        <f t="shared" si="118"/>
        <v>0</v>
      </c>
      <c r="L190" s="165">
        <f t="shared" ref="L190" si="119">(L191+L192+L193+L194+L195+L196+L197)</f>
        <v>0</v>
      </c>
      <c r="M190" s="165">
        <f t="shared" si="118"/>
        <v>0</v>
      </c>
      <c r="N190" s="165"/>
      <c r="O190" s="165">
        <f t="shared" si="118"/>
        <v>0</v>
      </c>
      <c r="P190" s="165">
        <f t="shared" si="118"/>
        <v>0</v>
      </c>
    </row>
    <row r="191" spans="1:16" ht="23.25" hidden="1" x14ac:dyDescent="0.25">
      <c r="A191" s="130"/>
      <c r="B191" s="125" t="s">
        <v>349</v>
      </c>
      <c r="C191" s="149"/>
      <c r="D191" s="163">
        <v>30201</v>
      </c>
      <c r="E191" s="132" t="s">
        <v>353</v>
      </c>
      <c r="F191" s="164">
        <v>0</v>
      </c>
      <c r="G191" s="165">
        <v>0</v>
      </c>
      <c r="H191" s="165">
        <v>0</v>
      </c>
      <c r="I191" s="165">
        <v>0</v>
      </c>
      <c r="J191" s="165">
        <v>0</v>
      </c>
      <c r="K191" s="165">
        <v>0</v>
      </c>
      <c r="L191" s="165">
        <v>0</v>
      </c>
      <c r="M191" s="165">
        <v>0</v>
      </c>
      <c r="N191" s="165"/>
      <c r="O191" s="165">
        <v>0</v>
      </c>
      <c r="P191" s="165">
        <v>0</v>
      </c>
    </row>
    <row r="192" spans="1:16" ht="23.25" hidden="1" x14ac:dyDescent="0.25">
      <c r="A192" s="130"/>
      <c r="B192" s="125" t="s">
        <v>349</v>
      </c>
      <c r="C192" s="149"/>
      <c r="D192" s="163">
        <v>30202</v>
      </c>
      <c r="E192" s="132" t="s">
        <v>354</v>
      </c>
      <c r="F192" s="164">
        <v>0</v>
      </c>
      <c r="G192" s="165">
        <v>0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5">
        <v>0</v>
      </c>
      <c r="N192" s="165"/>
      <c r="O192" s="165">
        <v>0</v>
      </c>
      <c r="P192" s="165">
        <v>0</v>
      </c>
    </row>
    <row r="193" spans="1:16" ht="23.25" hidden="1" x14ac:dyDescent="0.25">
      <c r="A193" s="130"/>
      <c r="B193" s="125" t="s">
        <v>349</v>
      </c>
      <c r="C193" s="149"/>
      <c r="D193" s="163">
        <v>30203</v>
      </c>
      <c r="E193" s="132" t="s">
        <v>355</v>
      </c>
      <c r="F193" s="164">
        <v>0</v>
      </c>
      <c r="G193" s="165">
        <v>0</v>
      </c>
      <c r="H193" s="165">
        <v>0</v>
      </c>
      <c r="I193" s="165">
        <v>0</v>
      </c>
      <c r="J193" s="165">
        <v>0</v>
      </c>
      <c r="K193" s="165">
        <v>0</v>
      </c>
      <c r="L193" s="165">
        <v>0</v>
      </c>
      <c r="M193" s="165">
        <v>0</v>
      </c>
      <c r="N193" s="165"/>
      <c r="O193" s="165">
        <v>0</v>
      </c>
      <c r="P193" s="165">
        <v>0</v>
      </c>
    </row>
    <row r="194" spans="1:16" ht="23.25" hidden="1" x14ac:dyDescent="0.25">
      <c r="A194" s="130"/>
      <c r="B194" s="125" t="s">
        <v>349</v>
      </c>
      <c r="C194" s="149"/>
      <c r="D194" s="163">
        <v>30204</v>
      </c>
      <c r="E194" s="132" t="s">
        <v>356</v>
      </c>
      <c r="F194" s="164">
        <v>0</v>
      </c>
      <c r="G194" s="165">
        <v>0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5">
        <v>0</v>
      </c>
      <c r="N194" s="165"/>
      <c r="O194" s="165">
        <v>0</v>
      </c>
      <c r="P194" s="165">
        <v>0</v>
      </c>
    </row>
    <row r="195" spans="1:16" ht="23.25" hidden="1" x14ac:dyDescent="0.25">
      <c r="A195" s="130"/>
      <c r="B195" s="125" t="s">
        <v>349</v>
      </c>
      <c r="C195" s="149"/>
      <c r="D195" s="163">
        <v>30205</v>
      </c>
      <c r="E195" s="132" t="s">
        <v>357</v>
      </c>
      <c r="F195" s="164">
        <v>0</v>
      </c>
      <c r="G195" s="165">
        <v>0</v>
      </c>
      <c r="H195" s="165">
        <v>0</v>
      </c>
      <c r="I195" s="165">
        <v>0</v>
      </c>
      <c r="J195" s="165">
        <v>0</v>
      </c>
      <c r="K195" s="165">
        <v>0</v>
      </c>
      <c r="L195" s="165">
        <v>0</v>
      </c>
      <c r="M195" s="165">
        <v>0</v>
      </c>
      <c r="N195" s="165"/>
      <c r="O195" s="165">
        <v>0</v>
      </c>
      <c r="P195" s="165">
        <v>0</v>
      </c>
    </row>
    <row r="196" spans="1:16" ht="23.25" hidden="1" x14ac:dyDescent="0.25">
      <c r="A196" s="130"/>
      <c r="B196" s="125" t="s">
        <v>349</v>
      </c>
      <c r="C196" s="149"/>
      <c r="D196" s="163">
        <v>30206</v>
      </c>
      <c r="E196" s="132" t="s">
        <v>358</v>
      </c>
      <c r="F196" s="164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5">
        <v>0</v>
      </c>
      <c r="N196" s="165"/>
      <c r="O196" s="165">
        <v>0</v>
      </c>
      <c r="P196" s="165">
        <v>0</v>
      </c>
    </row>
    <row r="197" spans="1:16" ht="23.25" hidden="1" x14ac:dyDescent="0.25">
      <c r="A197" s="130"/>
      <c r="B197" s="125" t="s">
        <v>349</v>
      </c>
      <c r="C197" s="149"/>
      <c r="D197" s="163">
        <v>30207</v>
      </c>
      <c r="E197" s="132" t="s">
        <v>359</v>
      </c>
      <c r="F197" s="164">
        <v>0</v>
      </c>
      <c r="G197" s="165">
        <v>0</v>
      </c>
      <c r="H197" s="165">
        <v>0</v>
      </c>
      <c r="I197" s="165">
        <v>0</v>
      </c>
      <c r="J197" s="165">
        <v>0</v>
      </c>
      <c r="K197" s="165">
        <v>0</v>
      </c>
      <c r="L197" s="165">
        <v>0</v>
      </c>
      <c r="M197" s="165">
        <v>0</v>
      </c>
      <c r="N197" s="165"/>
      <c r="O197" s="165">
        <v>0</v>
      </c>
      <c r="P197" s="165">
        <v>0</v>
      </c>
    </row>
    <row r="198" spans="1:16" hidden="1" x14ac:dyDescent="0.25">
      <c r="A198" s="130"/>
      <c r="B198" s="125"/>
      <c r="C198" s="149"/>
      <c r="D198" s="163"/>
      <c r="E198" s="132"/>
      <c r="F198" s="164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</row>
    <row r="199" spans="1:16" ht="23.25" hidden="1" x14ac:dyDescent="0.25">
      <c r="A199" s="130"/>
      <c r="B199" s="125"/>
      <c r="C199" s="149"/>
      <c r="D199" s="177">
        <v>3.03</v>
      </c>
      <c r="E199" s="128" t="s">
        <v>360</v>
      </c>
      <c r="F199" s="159">
        <f t="shared" ref="F199:P199" si="120">(F200+F201)</f>
        <v>0</v>
      </c>
      <c r="G199" s="165">
        <f t="shared" si="120"/>
        <v>0</v>
      </c>
      <c r="H199" s="165">
        <f t="shared" si="120"/>
        <v>0</v>
      </c>
      <c r="I199" s="165">
        <f t="shared" si="120"/>
        <v>0</v>
      </c>
      <c r="J199" s="165">
        <f t="shared" si="120"/>
        <v>0</v>
      </c>
      <c r="K199" s="165">
        <f t="shared" si="120"/>
        <v>0</v>
      </c>
      <c r="L199" s="165">
        <f t="shared" ref="L199" si="121">(L200+L201)</f>
        <v>0</v>
      </c>
      <c r="M199" s="165">
        <f t="shared" si="120"/>
        <v>0</v>
      </c>
      <c r="N199" s="165"/>
      <c r="O199" s="165">
        <f t="shared" si="120"/>
        <v>0</v>
      </c>
      <c r="P199" s="165">
        <f t="shared" si="120"/>
        <v>0</v>
      </c>
    </row>
    <row r="200" spans="1:16" ht="23.25" hidden="1" x14ac:dyDescent="0.25">
      <c r="A200" s="130"/>
      <c r="B200" s="125" t="s">
        <v>349</v>
      </c>
      <c r="C200" s="149"/>
      <c r="D200" s="163">
        <v>30301</v>
      </c>
      <c r="E200" s="132" t="s">
        <v>361</v>
      </c>
      <c r="F200" s="164">
        <v>0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5">
        <v>0</v>
      </c>
      <c r="N200" s="165"/>
      <c r="O200" s="165">
        <v>0</v>
      </c>
      <c r="P200" s="165">
        <v>0</v>
      </c>
    </row>
    <row r="201" spans="1:16" hidden="1" x14ac:dyDescent="0.25">
      <c r="A201" s="130"/>
      <c r="B201" s="125" t="s">
        <v>349</v>
      </c>
      <c r="C201" s="149"/>
      <c r="D201" s="163">
        <v>30399</v>
      </c>
      <c r="E201" s="132" t="s">
        <v>362</v>
      </c>
      <c r="F201" s="164">
        <v>0</v>
      </c>
      <c r="G201" s="165">
        <v>0</v>
      </c>
      <c r="H201" s="165">
        <v>0</v>
      </c>
      <c r="I201" s="165">
        <v>0</v>
      </c>
      <c r="J201" s="165">
        <v>0</v>
      </c>
      <c r="K201" s="165">
        <v>0</v>
      </c>
      <c r="L201" s="165">
        <v>0</v>
      </c>
      <c r="M201" s="165">
        <v>0</v>
      </c>
      <c r="N201" s="165"/>
      <c r="O201" s="165">
        <v>0</v>
      </c>
      <c r="P201" s="165">
        <v>0</v>
      </c>
    </row>
    <row r="202" spans="1:16" hidden="1" x14ac:dyDescent="0.25">
      <c r="A202" s="130"/>
      <c r="B202" s="181"/>
      <c r="C202" s="157"/>
      <c r="D202" s="163"/>
      <c r="E202" s="132"/>
      <c r="F202" s="164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</row>
    <row r="203" spans="1:16" hidden="1" x14ac:dyDescent="0.25">
      <c r="A203" s="130"/>
      <c r="B203" s="125"/>
      <c r="C203" s="149"/>
      <c r="D203" s="158">
        <v>3.04</v>
      </c>
      <c r="E203" s="128" t="s">
        <v>336</v>
      </c>
      <c r="F203" s="159">
        <f t="shared" ref="F203:P203" si="122">F204</f>
        <v>0</v>
      </c>
      <c r="G203" s="165">
        <f t="shared" si="122"/>
        <v>0</v>
      </c>
      <c r="H203" s="165">
        <f t="shared" si="122"/>
        <v>0</v>
      </c>
      <c r="I203" s="165">
        <f t="shared" si="122"/>
        <v>0</v>
      </c>
      <c r="J203" s="165">
        <f t="shared" si="122"/>
        <v>0</v>
      </c>
      <c r="K203" s="165">
        <f t="shared" si="122"/>
        <v>0</v>
      </c>
      <c r="L203" s="165">
        <f t="shared" si="122"/>
        <v>0</v>
      </c>
      <c r="M203" s="165">
        <f t="shared" si="122"/>
        <v>0</v>
      </c>
      <c r="N203" s="165"/>
      <c r="O203" s="165">
        <f t="shared" si="122"/>
        <v>0</v>
      </c>
      <c r="P203" s="165">
        <f t="shared" si="122"/>
        <v>0</v>
      </c>
    </row>
    <row r="204" spans="1:16" hidden="1" x14ac:dyDescent="0.25">
      <c r="A204" s="137"/>
      <c r="B204" s="125" t="s">
        <v>349</v>
      </c>
      <c r="C204" s="149"/>
      <c r="D204" s="163">
        <v>30405</v>
      </c>
      <c r="E204" s="132" t="s">
        <v>363</v>
      </c>
      <c r="F204" s="164">
        <v>0</v>
      </c>
      <c r="G204" s="165">
        <v>0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5">
        <v>0</v>
      </c>
      <c r="N204" s="165"/>
      <c r="O204" s="165">
        <v>0</v>
      </c>
      <c r="P204" s="165">
        <v>0</v>
      </c>
    </row>
    <row r="205" spans="1:16" ht="23.25" hidden="1" x14ac:dyDescent="0.25">
      <c r="A205" s="130" t="s">
        <v>364</v>
      </c>
      <c r="B205" s="178"/>
      <c r="C205" s="174"/>
      <c r="D205" s="163"/>
      <c r="E205" s="132"/>
      <c r="F205" s="164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</row>
    <row r="206" spans="1:16" ht="23.25" hidden="1" x14ac:dyDescent="0.25">
      <c r="A206" s="130"/>
      <c r="B206" s="125"/>
      <c r="C206" s="157">
        <f>+F206+F210+F213</f>
        <v>0</v>
      </c>
      <c r="D206" s="177">
        <v>3.01</v>
      </c>
      <c r="E206" s="128" t="s">
        <v>348</v>
      </c>
      <c r="F206" s="159">
        <f t="shared" ref="F206:P206" si="123">(F207+F208)</f>
        <v>0</v>
      </c>
      <c r="G206" s="165">
        <f t="shared" si="123"/>
        <v>0</v>
      </c>
      <c r="H206" s="165">
        <f t="shared" si="123"/>
        <v>0</v>
      </c>
      <c r="I206" s="165">
        <f t="shared" si="123"/>
        <v>0</v>
      </c>
      <c r="J206" s="165">
        <f t="shared" si="123"/>
        <v>0</v>
      </c>
      <c r="K206" s="165">
        <f t="shared" si="123"/>
        <v>0</v>
      </c>
      <c r="L206" s="165">
        <f t="shared" ref="L206" si="124">(L207+L208)</f>
        <v>0</v>
      </c>
      <c r="M206" s="165">
        <f t="shared" si="123"/>
        <v>0</v>
      </c>
      <c r="N206" s="165"/>
      <c r="O206" s="165">
        <f t="shared" si="123"/>
        <v>0</v>
      </c>
      <c r="P206" s="165">
        <f t="shared" si="123"/>
        <v>0</v>
      </c>
    </row>
    <row r="207" spans="1:16" ht="23.25" hidden="1" x14ac:dyDescent="0.25">
      <c r="A207" s="130"/>
      <c r="B207" s="125" t="s">
        <v>365</v>
      </c>
      <c r="C207" s="149"/>
      <c r="D207" s="163">
        <v>30103</v>
      </c>
      <c r="E207" s="132" t="s">
        <v>366</v>
      </c>
      <c r="F207" s="164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/>
      <c r="O207" s="165">
        <v>0</v>
      </c>
      <c r="P207" s="165">
        <v>0</v>
      </c>
    </row>
    <row r="208" spans="1:16" ht="23.25" hidden="1" x14ac:dyDescent="0.25">
      <c r="A208" s="130"/>
      <c r="B208" s="125" t="s">
        <v>365</v>
      </c>
      <c r="C208" s="149"/>
      <c r="D208" s="163">
        <v>30104</v>
      </c>
      <c r="E208" s="132" t="s">
        <v>367</v>
      </c>
      <c r="F208" s="164">
        <v>0</v>
      </c>
      <c r="G208" s="165">
        <v>0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5">
        <v>0</v>
      </c>
      <c r="N208" s="165"/>
      <c r="O208" s="165">
        <v>0</v>
      </c>
      <c r="P208" s="165">
        <v>0</v>
      </c>
    </row>
    <row r="209" spans="1:16" hidden="1" x14ac:dyDescent="0.25">
      <c r="A209" s="130"/>
      <c r="B209" s="181"/>
      <c r="C209" s="157"/>
      <c r="D209" s="163"/>
      <c r="E209" s="132"/>
      <c r="F209" s="164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</row>
    <row r="210" spans="1:16" hidden="1" x14ac:dyDescent="0.25">
      <c r="A210" s="130"/>
      <c r="B210" s="125" t="s">
        <v>365</v>
      </c>
      <c r="C210" s="157"/>
      <c r="D210" s="177">
        <v>3.02</v>
      </c>
      <c r="E210" s="128" t="s">
        <v>352</v>
      </c>
      <c r="F210" s="159">
        <f t="shared" ref="F210:P210" si="125">F211</f>
        <v>0</v>
      </c>
      <c r="G210" s="165">
        <f t="shared" si="125"/>
        <v>0</v>
      </c>
      <c r="H210" s="165">
        <f t="shared" si="125"/>
        <v>0</v>
      </c>
      <c r="I210" s="165">
        <f t="shared" si="125"/>
        <v>0</v>
      </c>
      <c r="J210" s="165">
        <f t="shared" si="125"/>
        <v>0</v>
      </c>
      <c r="K210" s="165">
        <f t="shared" si="125"/>
        <v>0</v>
      </c>
      <c r="L210" s="165">
        <f t="shared" si="125"/>
        <v>0</v>
      </c>
      <c r="M210" s="165">
        <f t="shared" si="125"/>
        <v>0</v>
      </c>
      <c r="N210" s="165"/>
      <c r="O210" s="165">
        <f t="shared" si="125"/>
        <v>0</v>
      </c>
      <c r="P210" s="165">
        <f t="shared" si="125"/>
        <v>0</v>
      </c>
    </row>
    <row r="211" spans="1:16" ht="23.25" hidden="1" x14ac:dyDescent="0.25">
      <c r="A211" s="130"/>
      <c r="B211" s="125" t="s">
        <v>365</v>
      </c>
      <c r="C211" s="149"/>
      <c r="D211" s="163">
        <v>30208</v>
      </c>
      <c r="E211" s="132" t="s">
        <v>368</v>
      </c>
      <c r="F211" s="164">
        <v>0</v>
      </c>
      <c r="G211" s="165">
        <v>0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65"/>
      <c r="O211" s="165">
        <v>0</v>
      </c>
      <c r="P211" s="165">
        <v>0</v>
      </c>
    </row>
    <row r="212" spans="1:16" hidden="1" x14ac:dyDescent="0.25">
      <c r="A212" s="130"/>
      <c r="B212" s="125"/>
      <c r="C212" s="149"/>
      <c r="D212" s="163"/>
      <c r="E212" s="132"/>
      <c r="F212" s="164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</row>
    <row r="213" spans="1:16" ht="23.25" hidden="1" x14ac:dyDescent="0.25">
      <c r="A213" s="130"/>
      <c r="B213" s="125" t="s">
        <v>365</v>
      </c>
      <c r="C213" s="157"/>
      <c r="D213" s="177">
        <v>3.03</v>
      </c>
      <c r="E213" s="128" t="s">
        <v>369</v>
      </c>
      <c r="F213" s="159">
        <f t="shared" ref="F213:P213" si="126">(F214+F215)</f>
        <v>0</v>
      </c>
      <c r="G213" s="165">
        <f t="shared" si="126"/>
        <v>0</v>
      </c>
      <c r="H213" s="165">
        <f t="shared" si="126"/>
        <v>0</v>
      </c>
      <c r="I213" s="165">
        <f t="shared" si="126"/>
        <v>0</v>
      </c>
      <c r="J213" s="165">
        <f t="shared" si="126"/>
        <v>0</v>
      </c>
      <c r="K213" s="165">
        <f t="shared" si="126"/>
        <v>0</v>
      </c>
      <c r="L213" s="165">
        <f t="shared" ref="L213" si="127">(L214+L215)</f>
        <v>0</v>
      </c>
      <c r="M213" s="165">
        <f t="shared" si="126"/>
        <v>0</v>
      </c>
      <c r="N213" s="165"/>
      <c r="O213" s="165">
        <f t="shared" si="126"/>
        <v>0</v>
      </c>
      <c r="P213" s="165">
        <f t="shared" si="126"/>
        <v>0</v>
      </c>
    </row>
    <row r="214" spans="1:16" ht="23.25" hidden="1" x14ac:dyDescent="0.25">
      <c r="A214" s="130"/>
      <c r="B214" s="125" t="s">
        <v>365</v>
      </c>
      <c r="C214" s="149"/>
      <c r="D214" s="163" t="s">
        <v>370</v>
      </c>
      <c r="E214" s="132" t="s">
        <v>371</v>
      </c>
      <c r="F214" s="164">
        <v>0</v>
      </c>
      <c r="G214" s="165">
        <v>0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5">
        <v>0</v>
      </c>
      <c r="N214" s="165"/>
      <c r="O214" s="165">
        <v>0</v>
      </c>
      <c r="P214" s="165">
        <v>0</v>
      </c>
    </row>
    <row r="215" spans="1:16" hidden="1" x14ac:dyDescent="0.25">
      <c r="A215" s="137"/>
      <c r="B215" s="125" t="s">
        <v>365</v>
      </c>
      <c r="C215" s="149"/>
      <c r="D215" s="163" t="s">
        <v>372</v>
      </c>
      <c r="E215" s="132" t="s">
        <v>373</v>
      </c>
      <c r="F215" s="164">
        <v>0</v>
      </c>
      <c r="G215" s="165">
        <v>0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0</v>
      </c>
      <c r="N215" s="165"/>
      <c r="O215" s="165">
        <v>0</v>
      </c>
      <c r="P215" s="165">
        <v>0</v>
      </c>
    </row>
    <row r="216" spans="1:16" x14ac:dyDescent="0.25">
      <c r="A216" s="145" t="s">
        <v>374</v>
      </c>
      <c r="B216" s="178"/>
      <c r="C216" s="179"/>
      <c r="D216" s="175"/>
      <c r="E216" s="128"/>
      <c r="F216" s="182">
        <f>+F217+F237+F264</f>
        <v>133869712</v>
      </c>
      <c r="G216" s="182">
        <f t="shared" ref="G216:P216" si="128">+G217+G237+G264</f>
        <v>0</v>
      </c>
      <c r="H216" s="182">
        <f t="shared" si="128"/>
        <v>133869712</v>
      </c>
      <c r="I216" s="182">
        <f t="shared" si="128"/>
        <v>0</v>
      </c>
      <c r="J216" s="182">
        <f t="shared" si="128"/>
        <v>0</v>
      </c>
      <c r="K216" s="182">
        <f t="shared" si="128"/>
        <v>0</v>
      </c>
      <c r="L216" s="182">
        <f t="shared" ref="L216" si="129">+L217+L237+L264</f>
        <v>0</v>
      </c>
      <c r="M216" s="182">
        <f t="shared" si="128"/>
        <v>22626261.579999998</v>
      </c>
      <c r="N216" s="182">
        <f t="shared" si="128"/>
        <v>0</v>
      </c>
      <c r="O216" s="231">
        <f t="shared" si="128"/>
        <v>22626261.579999998</v>
      </c>
      <c r="P216" s="182">
        <f t="shared" si="128"/>
        <v>111243450.42</v>
      </c>
    </row>
    <row r="217" spans="1:16" x14ac:dyDescent="0.25">
      <c r="A217" s="145" t="s">
        <v>676</v>
      </c>
      <c r="B217" s="125"/>
      <c r="C217" s="157">
        <f>+F217+F228+F231</f>
        <v>47009951</v>
      </c>
      <c r="D217" s="162">
        <v>601</v>
      </c>
      <c r="E217" s="139"/>
      <c r="F217" s="159">
        <f>(F218+F219+F220+F221+F222+F223+F224+F225+F226)</f>
        <v>47009951</v>
      </c>
      <c r="G217" s="159">
        <f t="shared" ref="G217:P217" si="130">(G218+G219+G220+G221+G222+G223+G224+G225+G226)</f>
        <v>0</v>
      </c>
      <c r="H217" s="159">
        <f t="shared" si="130"/>
        <v>47009951</v>
      </c>
      <c r="I217" s="159">
        <f t="shared" si="130"/>
        <v>0</v>
      </c>
      <c r="J217" s="159">
        <f t="shared" si="130"/>
        <v>0</v>
      </c>
      <c r="K217" s="159">
        <f t="shared" si="130"/>
        <v>0</v>
      </c>
      <c r="L217" s="159">
        <f t="shared" ref="L217" si="131">(L218+L219+L220+L221+L222+L223+L224+L225+L226)</f>
        <v>0</v>
      </c>
      <c r="M217" s="159">
        <f t="shared" si="130"/>
        <v>0</v>
      </c>
      <c r="N217" s="159"/>
      <c r="O217" s="172">
        <f t="shared" si="130"/>
        <v>0</v>
      </c>
      <c r="P217" s="159">
        <f t="shared" si="130"/>
        <v>47009951</v>
      </c>
    </row>
    <row r="218" spans="1:16" ht="23.25" hidden="1" x14ac:dyDescent="0.25">
      <c r="A218" s="130"/>
      <c r="B218" s="125" t="s">
        <v>375</v>
      </c>
      <c r="C218" s="149"/>
      <c r="D218" s="163">
        <v>60101</v>
      </c>
      <c r="E218" s="132" t="s">
        <v>376</v>
      </c>
      <c r="F218" s="164">
        <v>0</v>
      </c>
      <c r="G218" s="165">
        <v>0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5">
        <v>0</v>
      </c>
      <c r="N218" s="165"/>
      <c r="O218" s="165">
        <v>0</v>
      </c>
      <c r="P218" s="165"/>
    </row>
    <row r="219" spans="1:16" ht="23.25" hidden="1" x14ac:dyDescent="0.25">
      <c r="A219" s="130"/>
      <c r="B219" s="125" t="s">
        <v>375</v>
      </c>
      <c r="C219" s="149"/>
      <c r="D219" s="163">
        <v>60102</v>
      </c>
      <c r="E219" s="132" t="s">
        <v>377</v>
      </c>
      <c r="F219" s="164">
        <v>0</v>
      </c>
      <c r="G219" s="165">
        <v>0</v>
      </c>
      <c r="H219" s="165">
        <v>0</v>
      </c>
      <c r="I219" s="165">
        <v>0</v>
      </c>
      <c r="J219" s="165">
        <v>0</v>
      </c>
      <c r="K219" s="165">
        <v>0</v>
      </c>
      <c r="L219" s="165">
        <v>0</v>
      </c>
      <c r="M219" s="165">
        <v>0</v>
      </c>
      <c r="N219" s="165"/>
      <c r="O219" s="165">
        <v>0</v>
      </c>
      <c r="P219" s="165">
        <v>0</v>
      </c>
    </row>
    <row r="220" spans="1:16" ht="23.25" x14ac:dyDescent="0.25">
      <c r="A220" s="130"/>
      <c r="B220" s="125" t="s">
        <v>375</v>
      </c>
      <c r="C220" s="149"/>
      <c r="D220" s="163">
        <v>60103</v>
      </c>
      <c r="E220" s="132" t="s">
        <v>378</v>
      </c>
      <c r="F220" s="164">
        <v>47009951</v>
      </c>
      <c r="G220" s="165"/>
      <c r="H220" s="165">
        <f>G220+F220</f>
        <v>47009951</v>
      </c>
      <c r="I220" s="165">
        <v>0</v>
      </c>
      <c r="J220" s="165">
        <v>0</v>
      </c>
      <c r="K220" s="165">
        <v>0</v>
      </c>
      <c r="L220" s="165">
        <f>+I220+J220+K220</f>
        <v>0</v>
      </c>
      <c r="M220" s="165"/>
      <c r="N220" s="165"/>
      <c r="O220" s="165">
        <f>+L220+M220</f>
        <v>0</v>
      </c>
      <c r="P220" s="165">
        <f t="shared" ref="P220" si="132">+H220-O220-N220</f>
        <v>47009951</v>
      </c>
    </row>
    <row r="221" spans="1:16" ht="23.25" hidden="1" x14ac:dyDescent="0.25">
      <c r="A221" s="130"/>
      <c r="B221" s="125" t="s">
        <v>375</v>
      </c>
      <c r="C221" s="149"/>
      <c r="D221" s="163">
        <v>60104</v>
      </c>
      <c r="E221" s="140" t="s">
        <v>379</v>
      </c>
      <c r="F221" s="164">
        <v>0</v>
      </c>
      <c r="G221" s="165">
        <v>0</v>
      </c>
      <c r="H221" s="165">
        <v>0</v>
      </c>
      <c r="I221" s="165">
        <v>0</v>
      </c>
      <c r="J221" s="165">
        <v>0</v>
      </c>
      <c r="K221" s="165">
        <v>0</v>
      </c>
      <c r="L221" s="165">
        <v>0</v>
      </c>
      <c r="M221" s="165">
        <v>0</v>
      </c>
      <c r="N221" s="165"/>
      <c r="O221" s="165">
        <v>0</v>
      </c>
      <c r="P221" s="165">
        <f t="shared" ref="P221" si="133">+H221-O221</f>
        <v>0</v>
      </c>
    </row>
    <row r="222" spans="1:16" ht="23.25" hidden="1" x14ac:dyDescent="0.25">
      <c r="A222" s="130"/>
      <c r="B222" s="125" t="s">
        <v>375</v>
      </c>
      <c r="C222" s="149"/>
      <c r="D222" s="163">
        <v>60105</v>
      </c>
      <c r="E222" s="132" t="s">
        <v>380</v>
      </c>
      <c r="F222" s="164">
        <v>0</v>
      </c>
      <c r="G222" s="165">
        <v>0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5">
        <v>0</v>
      </c>
      <c r="N222" s="165"/>
      <c r="O222" s="165">
        <v>0</v>
      </c>
      <c r="P222" s="165">
        <v>0</v>
      </c>
    </row>
    <row r="223" spans="1:16" ht="23.25" hidden="1" x14ac:dyDescent="0.25">
      <c r="A223" s="130"/>
      <c r="B223" s="125" t="s">
        <v>375</v>
      </c>
      <c r="C223" s="149"/>
      <c r="D223" s="163">
        <v>60106</v>
      </c>
      <c r="E223" s="132" t="s">
        <v>381</v>
      </c>
      <c r="F223" s="164">
        <v>0</v>
      </c>
      <c r="G223" s="165">
        <v>0</v>
      </c>
      <c r="H223" s="165">
        <v>0</v>
      </c>
      <c r="I223" s="165">
        <v>0</v>
      </c>
      <c r="J223" s="165">
        <v>0</v>
      </c>
      <c r="K223" s="165">
        <v>0</v>
      </c>
      <c r="L223" s="165">
        <v>0</v>
      </c>
      <c r="M223" s="165">
        <v>0</v>
      </c>
      <c r="N223" s="165"/>
      <c r="O223" s="165">
        <v>0</v>
      </c>
      <c r="P223" s="165">
        <v>0</v>
      </c>
    </row>
    <row r="224" spans="1:16" hidden="1" x14ac:dyDescent="0.25">
      <c r="A224" s="130"/>
      <c r="B224" s="125" t="s">
        <v>375</v>
      </c>
      <c r="C224" s="149"/>
      <c r="D224" s="163">
        <v>60107</v>
      </c>
      <c r="E224" s="132" t="s">
        <v>382</v>
      </c>
      <c r="F224" s="164">
        <v>0</v>
      </c>
      <c r="G224" s="165">
        <v>0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5">
        <v>0</v>
      </c>
      <c r="N224" s="165"/>
      <c r="O224" s="165">
        <v>0</v>
      </c>
      <c r="P224" s="165">
        <v>0</v>
      </c>
    </row>
    <row r="225" spans="1:16" ht="23.25" hidden="1" x14ac:dyDescent="0.25">
      <c r="A225" s="130"/>
      <c r="B225" s="125" t="s">
        <v>375</v>
      </c>
      <c r="C225" s="149"/>
      <c r="D225" s="163">
        <v>60108</v>
      </c>
      <c r="E225" s="132" t="s">
        <v>383</v>
      </c>
      <c r="F225" s="164">
        <v>0</v>
      </c>
      <c r="G225" s="165">
        <v>0</v>
      </c>
      <c r="H225" s="165">
        <v>0</v>
      </c>
      <c r="I225" s="165">
        <v>0</v>
      </c>
      <c r="J225" s="165">
        <v>0</v>
      </c>
      <c r="K225" s="165">
        <v>0</v>
      </c>
      <c r="L225" s="165">
        <v>0</v>
      </c>
      <c r="M225" s="165">
        <v>0</v>
      </c>
      <c r="N225" s="165"/>
      <c r="O225" s="165">
        <v>0</v>
      </c>
      <c r="P225" s="165">
        <v>0</v>
      </c>
    </row>
    <row r="226" spans="1:16" hidden="1" x14ac:dyDescent="0.25">
      <c r="A226" s="130"/>
      <c r="B226" s="125" t="s">
        <v>375</v>
      </c>
      <c r="C226" s="149"/>
      <c r="D226" s="163">
        <v>60109</v>
      </c>
      <c r="E226" s="132" t="s">
        <v>384</v>
      </c>
      <c r="F226" s="164">
        <v>0</v>
      </c>
      <c r="G226" s="165">
        <v>0</v>
      </c>
      <c r="H226" s="165">
        <v>0</v>
      </c>
      <c r="I226" s="165">
        <v>0</v>
      </c>
      <c r="J226" s="165">
        <v>0</v>
      </c>
      <c r="K226" s="165">
        <v>0</v>
      </c>
      <c r="L226" s="165">
        <v>0</v>
      </c>
      <c r="M226" s="165">
        <v>0</v>
      </c>
      <c r="N226" s="165"/>
      <c r="O226" s="165">
        <v>0</v>
      </c>
      <c r="P226" s="165">
        <v>0</v>
      </c>
    </row>
    <row r="227" spans="1:16" x14ac:dyDescent="0.25">
      <c r="A227" s="130"/>
      <c r="B227" s="125" t="s">
        <v>375</v>
      </c>
      <c r="C227" s="149"/>
      <c r="D227" s="163"/>
      <c r="E227" s="132"/>
      <c r="F227" s="159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>
        <v>0</v>
      </c>
    </row>
    <row r="228" spans="1:16" hidden="1" x14ac:dyDescent="0.25">
      <c r="A228" s="130"/>
      <c r="B228" s="125"/>
      <c r="C228" s="149"/>
      <c r="D228" s="162">
        <v>603</v>
      </c>
      <c r="E228" s="139" t="s">
        <v>385</v>
      </c>
      <c r="F228" s="159">
        <f t="shared" ref="F228:O228" si="134">F229</f>
        <v>0</v>
      </c>
      <c r="G228" s="165">
        <f t="shared" si="134"/>
        <v>0</v>
      </c>
      <c r="H228" s="165">
        <f t="shared" si="134"/>
        <v>0</v>
      </c>
      <c r="I228" s="165">
        <f t="shared" si="134"/>
        <v>0</v>
      </c>
      <c r="J228" s="165">
        <f t="shared" si="134"/>
        <v>0</v>
      </c>
      <c r="K228" s="165">
        <f t="shared" si="134"/>
        <v>0</v>
      </c>
      <c r="L228" s="165">
        <f t="shared" si="134"/>
        <v>0</v>
      </c>
      <c r="M228" s="165">
        <f t="shared" si="134"/>
        <v>0</v>
      </c>
      <c r="N228" s="165"/>
      <c r="O228" s="165">
        <f t="shared" si="134"/>
        <v>0</v>
      </c>
      <c r="P228" s="165"/>
    </row>
    <row r="229" spans="1:16" ht="23.25" hidden="1" x14ac:dyDescent="0.25">
      <c r="A229" s="130"/>
      <c r="B229" s="125" t="s">
        <v>375</v>
      </c>
      <c r="C229" s="149"/>
      <c r="D229" s="163">
        <v>60305</v>
      </c>
      <c r="E229" s="132" t="s">
        <v>386</v>
      </c>
      <c r="F229" s="164">
        <v>0</v>
      </c>
      <c r="G229" s="165">
        <v>0</v>
      </c>
      <c r="H229" s="165">
        <v>0</v>
      </c>
      <c r="I229" s="165">
        <v>0</v>
      </c>
      <c r="J229" s="165">
        <v>0</v>
      </c>
      <c r="K229" s="165">
        <v>0</v>
      </c>
      <c r="L229" s="165">
        <v>0</v>
      </c>
      <c r="M229" s="165">
        <v>0</v>
      </c>
      <c r="N229" s="165"/>
      <c r="O229" s="165">
        <v>0</v>
      </c>
      <c r="P229" s="165">
        <f t="shared" ref="P229" si="135">P230</f>
        <v>0</v>
      </c>
    </row>
    <row r="230" spans="1:16" hidden="1" x14ac:dyDescent="0.25">
      <c r="A230" s="130"/>
      <c r="B230" s="125" t="s">
        <v>375</v>
      </c>
      <c r="C230" s="149"/>
      <c r="D230" s="163"/>
      <c r="E230" s="132"/>
      <c r="F230" s="159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>
        <v>0</v>
      </c>
    </row>
    <row r="231" spans="1:16" hidden="1" x14ac:dyDescent="0.25">
      <c r="A231" s="130"/>
      <c r="B231" s="125"/>
      <c r="C231" s="149"/>
      <c r="D231" s="162" t="s">
        <v>387</v>
      </c>
      <c r="E231" s="139" t="s">
        <v>388</v>
      </c>
      <c r="F231" s="159">
        <f t="shared" ref="F231:O231" si="136">(F232+F233+F234+F235)</f>
        <v>0</v>
      </c>
      <c r="G231" s="165">
        <f t="shared" si="136"/>
        <v>0</v>
      </c>
      <c r="H231" s="165">
        <f t="shared" si="136"/>
        <v>0</v>
      </c>
      <c r="I231" s="165">
        <f t="shared" si="136"/>
        <v>0</v>
      </c>
      <c r="J231" s="165">
        <f t="shared" si="136"/>
        <v>0</v>
      </c>
      <c r="K231" s="165">
        <f t="shared" si="136"/>
        <v>0</v>
      </c>
      <c r="L231" s="165">
        <f t="shared" ref="L231" si="137">(L232+L233+L234+L235)</f>
        <v>0</v>
      </c>
      <c r="M231" s="165">
        <f t="shared" si="136"/>
        <v>0</v>
      </c>
      <c r="N231" s="165"/>
      <c r="O231" s="165">
        <f t="shared" si="136"/>
        <v>0</v>
      </c>
      <c r="P231" s="165"/>
    </row>
    <row r="232" spans="1:16" hidden="1" x14ac:dyDescent="0.25">
      <c r="A232" s="130"/>
      <c r="B232" s="125" t="s">
        <v>375</v>
      </c>
      <c r="C232" s="157"/>
      <c r="D232" s="163" t="s">
        <v>389</v>
      </c>
      <c r="E232" s="132" t="s">
        <v>390</v>
      </c>
      <c r="F232" s="164">
        <v>0</v>
      </c>
      <c r="G232" s="165">
        <v>0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5">
        <v>0</v>
      </c>
      <c r="N232" s="165"/>
      <c r="O232" s="165">
        <v>0</v>
      </c>
      <c r="P232" s="165">
        <f t="shared" ref="P232" si="138">(P233+P234+P235+P236)</f>
        <v>0</v>
      </c>
    </row>
    <row r="233" spans="1:16" hidden="1" x14ac:dyDescent="0.25">
      <c r="A233" s="130"/>
      <c r="B233" s="125" t="s">
        <v>375</v>
      </c>
      <c r="C233" s="149"/>
      <c r="D233" s="163" t="s">
        <v>391</v>
      </c>
      <c r="E233" s="132" t="s">
        <v>295</v>
      </c>
      <c r="F233" s="164">
        <v>0</v>
      </c>
      <c r="G233" s="165">
        <v>0</v>
      </c>
      <c r="H233" s="165">
        <v>0</v>
      </c>
      <c r="I233" s="165">
        <v>0</v>
      </c>
      <c r="J233" s="165">
        <v>0</v>
      </c>
      <c r="K233" s="165">
        <v>0</v>
      </c>
      <c r="L233" s="165">
        <v>0</v>
      </c>
      <c r="M233" s="165">
        <v>0</v>
      </c>
      <c r="N233" s="165"/>
      <c r="O233" s="165">
        <v>0</v>
      </c>
      <c r="P233" s="165">
        <v>0</v>
      </c>
    </row>
    <row r="234" spans="1:16" hidden="1" x14ac:dyDescent="0.25">
      <c r="A234" s="130"/>
      <c r="B234" s="125" t="s">
        <v>375</v>
      </c>
      <c r="C234" s="149"/>
      <c r="D234" s="163" t="s">
        <v>392</v>
      </c>
      <c r="E234" s="132" t="s">
        <v>393</v>
      </c>
      <c r="F234" s="164">
        <v>0</v>
      </c>
      <c r="G234" s="165">
        <v>0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5">
        <v>0</v>
      </c>
      <c r="N234" s="165"/>
      <c r="O234" s="165">
        <v>0</v>
      </c>
      <c r="P234" s="165">
        <v>0</v>
      </c>
    </row>
    <row r="235" spans="1:16" hidden="1" x14ac:dyDescent="0.25">
      <c r="A235" s="130"/>
      <c r="B235" s="125" t="s">
        <v>375</v>
      </c>
      <c r="C235" s="149"/>
      <c r="D235" s="163" t="s">
        <v>394</v>
      </c>
      <c r="E235" s="132" t="s">
        <v>297</v>
      </c>
      <c r="F235" s="164">
        <v>0</v>
      </c>
      <c r="G235" s="165">
        <v>0</v>
      </c>
      <c r="H235" s="165">
        <v>0</v>
      </c>
      <c r="I235" s="165">
        <v>0</v>
      </c>
      <c r="J235" s="165">
        <v>0</v>
      </c>
      <c r="K235" s="165">
        <v>0</v>
      </c>
      <c r="L235" s="165">
        <v>0</v>
      </c>
      <c r="M235" s="165">
        <v>0</v>
      </c>
      <c r="N235" s="165"/>
      <c r="O235" s="165">
        <v>0</v>
      </c>
      <c r="P235" s="165">
        <v>0</v>
      </c>
    </row>
    <row r="236" spans="1:16" hidden="1" x14ac:dyDescent="0.25">
      <c r="A236" s="130"/>
      <c r="B236" s="125" t="s">
        <v>375</v>
      </c>
      <c r="C236" s="149"/>
      <c r="D236" s="163"/>
      <c r="E236" s="132"/>
      <c r="F236" s="164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>
        <v>0</v>
      </c>
    </row>
    <row r="237" spans="1:16" ht="68.25" hidden="1" x14ac:dyDescent="0.25">
      <c r="A237" s="130" t="s">
        <v>395</v>
      </c>
      <c r="B237" s="125"/>
      <c r="C237" s="149"/>
      <c r="D237" s="134"/>
      <c r="E237" s="134"/>
      <c r="F237" s="161">
        <f>+F238+F244+F251+F257+F260</f>
        <v>67854461</v>
      </c>
      <c r="G237" s="161">
        <f t="shared" ref="G237:P237" si="139">+G238+G244+G251+G257+G260</f>
        <v>0</v>
      </c>
      <c r="H237" s="161">
        <f t="shared" si="139"/>
        <v>67854461</v>
      </c>
      <c r="I237" s="161">
        <f t="shared" si="139"/>
        <v>0</v>
      </c>
      <c r="J237" s="161">
        <f t="shared" si="139"/>
        <v>0</v>
      </c>
      <c r="K237" s="161">
        <f t="shared" si="139"/>
        <v>0</v>
      </c>
      <c r="L237" s="161">
        <f t="shared" ref="L237" si="140">+L238+L244+L251+L257+L260</f>
        <v>0</v>
      </c>
      <c r="M237" s="161">
        <f t="shared" si="139"/>
        <v>3620961.58</v>
      </c>
      <c r="N237" s="161"/>
      <c r="O237" s="229">
        <f t="shared" si="139"/>
        <v>3620961.58</v>
      </c>
      <c r="P237" s="161">
        <f t="shared" si="139"/>
        <v>64233499.420000002</v>
      </c>
    </row>
    <row r="238" spans="1:16" ht="23.25" x14ac:dyDescent="0.25">
      <c r="A238" s="134"/>
      <c r="B238" s="125"/>
      <c r="C238" s="157">
        <f>+F238+F244+F251+F257+F260</f>
        <v>67854461</v>
      </c>
      <c r="D238" s="162">
        <v>602</v>
      </c>
      <c r="E238" s="139" t="s">
        <v>396</v>
      </c>
      <c r="F238" s="161">
        <f t="shared" ref="F238:P238" si="141">SUM(F239:F242)</f>
        <v>0</v>
      </c>
      <c r="G238" s="161">
        <f t="shared" si="141"/>
        <v>0</v>
      </c>
      <c r="H238" s="161">
        <f t="shared" si="141"/>
        <v>0</v>
      </c>
      <c r="I238" s="161">
        <f t="shared" si="141"/>
        <v>0</v>
      </c>
      <c r="J238" s="161">
        <f t="shared" si="141"/>
        <v>0</v>
      </c>
      <c r="K238" s="161">
        <f t="shared" si="141"/>
        <v>0</v>
      </c>
      <c r="L238" s="161">
        <f t="shared" ref="L238" si="142">SUM(L239:L242)</f>
        <v>0</v>
      </c>
      <c r="M238" s="161">
        <f t="shared" si="141"/>
        <v>0</v>
      </c>
      <c r="N238" s="161"/>
      <c r="O238" s="229">
        <f t="shared" si="141"/>
        <v>0</v>
      </c>
      <c r="P238" s="161">
        <f t="shared" si="141"/>
        <v>0</v>
      </c>
    </row>
    <row r="239" spans="1:16" hidden="1" x14ac:dyDescent="0.25">
      <c r="A239" s="130"/>
      <c r="B239" s="134"/>
      <c r="C239" s="134"/>
      <c r="D239" s="163">
        <v>60201</v>
      </c>
      <c r="E239" s="132" t="s">
        <v>398</v>
      </c>
      <c r="F239" s="164">
        <v>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65">
        <v>0</v>
      </c>
      <c r="N239" s="165"/>
      <c r="O239" s="165">
        <v>0</v>
      </c>
      <c r="P239" s="165">
        <v>0</v>
      </c>
    </row>
    <row r="240" spans="1:16" hidden="1" x14ac:dyDescent="0.25">
      <c r="A240" s="130"/>
      <c r="B240" s="125" t="s">
        <v>397</v>
      </c>
      <c r="C240" s="149"/>
      <c r="D240" s="163">
        <v>60202</v>
      </c>
      <c r="E240" s="132" t="s">
        <v>399</v>
      </c>
      <c r="F240" s="164">
        <v>0</v>
      </c>
      <c r="G240" s="165">
        <v>0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65">
        <v>0</v>
      </c>
      <c r="N240" s="165"/>
      <c r="O240" s="165">
        <v>0</v>
      </c>
      <c r="P240" s="165">
        <v>0</v>
      </c>
    </row>
    <row r="241" spans="1:16" hidden="1" x14ac:dyDescent="0.25">
      <c r="A241" s="130"/>
      <c r="B241" s="125" t="s">
        <v>397</v>
      </c>
      <c r="C241" s="149"/>
      <c r="D241" s="163">
        <v>60203</v>
      </c>
      <c r="E241" s="132" t="s">
        <v>400</v>
      </c>
      <c r="F241" s="164">
        <v>0</v>
      </c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/>
      <c r="O241" s="165">
        <v>0</v>
      </c>
      <c r="P241" s="165">
        <v>0</v>
      </c>
    </row>
    <row r="242" spans="1:16" x14ac:dyDescent="0.25">
      <c r="A242" s="130"/>
      <c r="B242" s="125" t="s">
        <v>397</v>
      </c>
      <c r="C242" s="149"/>
      <c r="D242" s="163">
        <v>60299</v>
      </c>
      <c r="E242" s="140" t="s">
        <v>401</v>
      </c>
      <c r="F242" s="164">
        <v>0</v>
      </c>
      <c r="G242" s="164">
        <v>0</v>
      </c>
      <c r="H242" s="165">
        <f t="shared" ref="H242" si="143">+F242+G242</f>
        <v>0</v>
      </c>
      <c r="I242" s="165">
        <v>0</v>
      </c>
      <c r="J242" s="165">
        <v>0</v>
      </c>
      <c r="K242" s="165">
        <v>0</v>
      </c>
      <c r="L242" s="165">
        <v>0</v>
      </c>
      <c r="M242" s="165">
        <v>0</v>
      </c>
      <c r="N242" s="165"/>
      <c r="O242" s="165">
        <v>0</v>
      </c>
      <c r="P242" s="165">
        <f t="shared" ref="P242" si="144">+H242-O242</f>
        <v>0</v>
      </c>
    </row>
    <row r="243" spans="1:16" x14ac:dyDescent="0.25">
      <c r="A243" s="130"/>
      <c r="B243" s="125" t="s">
        <v>397</v>
      </c>
      <c r="C243" s="149"/>
      <c r="D243" s="163"/>
      <c r="E243" s="140"/>
      <c r="F243" s="159"/>
      <c r="G243" s="165"/>
      <c r="H243" s="165"/>
      <c r="I243" s="165"/>
      <c r="J243" s="165"/>
      <c r="K243" s="165"/>
      <c r="L243" s="165">
        <f t="shared" ref="L243:L249" si="145">+I243+J243+K243</f>
        <v>0</v>
      </c>
      <c r="M243" s="165"/>
      <c r="N243" s="165"/>
      <c r="O243" s="165"/>
      <c r="P243" s="165"/>
    </row>
    <row r="244" spans="1:16" x14ac:dyDescent="0.25">
      <c r="A244" s="130"/>
      <c r="B244" s="125"/>
      <c r="C244" s="149"/>
      <c r="D244" s="162">
        <v>603</v>
      </c>
      <c r="E244" s="139" t="s">
        <v>385</v>
      </c>
      <c r="F244" s="159">
        <f>(F245+F246+F247+F248+F249)</f>
        <v>64457879</v>
      </c>
      <c r="G244" s="159">
        <f t="shared" ref="G244:P244" si="146">(G245+G246+G247+G248+G249)</f>
        <v>0</v>
      </c>
      <c r="H244" s="159">
        <f t="shared" si="146"/>
        <v>64457879</v>
      </c>
      <c r="I244" s="159">
        <f t="shared" si="146"/>
        <v>0</v>
      </c>
      <c r="J244" s="159">
        <f t="shared" si="146"/>
        <v>0</v>
      </c>
      <c r="K244" s="159">
        <f t="shared" si="146"/>
        <v>0</v>
      </c>
      <c r="L244" s="159">
        <f t="shared" ref="L244" si="147">(L245+L246+L247+L248+L249)</f>
        <v>0</v>
      </c>
      <c r="M244" s="159">
        <f>(M245+M246+M247+M248+M249)</f>
        <v>3620961.58</v>
      </c>
      <c r="N244" s="159">
        <f>(N245+N246+N247+N248+N249)</f>
        <v>0</v>
      </c>
      <c r="O244" s="172">
        <f t="shared" si="146"/>
        <v>3620961.58</v>
      </c>
      <c r="P244" s="159">
        <f t="shared" si="146"/>
        <v>60836917.420000002</v>
      </c>
    </row>
    <row r="245" spans="1:16" x14ac:dyDescent="0.25">
      <c r="A245" s="130"/>
      <c r="B245" s="125" t="s">
        <v>397</v>
      </c>
      <c r="C245" s="157"/>
      <c r="D245" s="163">
        <v>60301</v>
      </c>
      <c r="E245" s="132" t="s">
        <v>402</v>
      </c>
      <c r="F245" s="164">
        <v>36336630</v>
      </c>
      <c r="G245" s="164">
        <v>0</v>
      </c>
      <c r="H245" s="165">
        <f>+F245+G245</f>
        <v>36336630</v>
      </c>
      <c r="I245" s="164"/>
      <c r="J245" s="164"/>
      <c r="K245" s="164"/>
      <c r="L245" s="165">
        <f t="shared" si="145"/>
        <v>0</v>
      </c>
      <c r="M245" s="164">
        <v>233451.47</v>
      </c>
      <c r="N245" s="164"/>
      <c r="O245" s="165">
        <f>+L245+M245</f>
        <v>233451.47</v>
      </c>
      <c r="P245" s="165">
        <f t="shared" ref="P245:P249" si="148">+H245-O245-N245</f>
        <v>36103178.530000001</v>
      </c>
    </row>
    <row r="246" spans="1:16" ht="23.25" hidden="1" x14ac:dyDescent="0.25">
      <c r="A246" s="130"/>
      <c r="B246" s="125" t="s">
        <v>397</v>
      </c>
      <c r="C246" s="149"/>
      <c r="D246" s="163">
        <v>60302</v>
      </c>
      <c r="E246" s="132" t="s">
        <v>403</v>
      </c>
      <c r="F246" s="164">
        <v>0</v>
      </c>
      <c r="G246" s="165">
        <v>0</v>
      </c>
      <c r="H246" s="165">
        <f t="shared" ref="H246:H249" si="149">+F246+G246</f>
        <v>0</v>
      </c>
      <c r="I246" s="165"/>
      <c r="J246" s="165"/>
      <c r="K246" s="165"/>
      <c r="L246" s="165">
        <f t="shared" si="145"/>
        <v>0</v>
      </c>
      <c r="M246" s="165"/>
      <c r="N246" s="165"/>
      <c r="O246" s="165">
        <f t="shared" ref="O246:O249" si="150">+L246+M246</f>
        <v>0</v>
      </c>
      <c r="P246" s="165">
        <f t="shared" si="148"/>
        <v>0</v>
      </c>
    </row>
    <row r="247" spans="1:16" hidden="1" x14ac:dyDescent="0.25">
      <c r="A247" s="130"/>
      <c r="B247" s="125" t="s">
        <v>397</v>
      </c>
      <c r="C247" s="149"/>
      <c r="D247" s="163">
        <v>60303</v>
      </c>
      <c r="E247" s="132" t="s">
        <v>404</v>
      </c>
      <c r="F247" s="164">
        <v>0</v>
      </c>
      <c r="G247" s="165">
        <v>0</v>
      </c>
      <c r="H247" s="165">
        <f t="shared" si="149"/>
        <v>0</v>
      </c>
      <c r="I247" s="165"/>
      <c r="J247" s="165"/>
      <c r="K247" s="165"/>
      <c r="L247" s="165">
        <f t="shared" si="145"/>
        <v>0</v>
      </c>
      <c r="M247" s="165"/>
      <c r="N247" s="165"/>
      <c r="O247" s="165">
        <f t="shared" si="150"/>
        <v>0</v>
      </c>
      <c r="P247" s="165">
        <f t="shared" si="148"/>
        <v>0</v>
      </c>
    </row>
    <row r="248" spans="1:16" ht="23.25" hidden="1" x14ac:dyDescent="0.25">
      <c r="A248" s="130"/>
      <c r="B248" s="125" t="s">
        <v>397</v>
      </c>
      <c r="C248" s="149"/>
      <c r="D248" s="163">
        <v>60304</v>
      </c>
      <c r="E248" s="140" t="s">
        <v>405</v>
      </c>
      <c r="F248" s="164">
        <v>0</v>
      </c>
      <c r="G248" s="165">
        <v>0</v>
      </c>
      <c r="H248" s="165">
        <f t="shared" si="149"/>
        <v>0</v>
      </c>
      <c r="I248" s="165"/>
      <c r="J248" s="165"/>
      <c r="K248" s="165"/>
      <c r="L248" s="165">
        <f t="shared" si="145"/>
        <v>0</v>
      </c>
      <c r="M248" s="165"/>
      <c r="N248" s="165"/>
      <c r="O248" s="165">
        <f t="shared" si="150"/>
        <v>0</v>
      </c>
      <c r="P248" s="165">
        <f t="shared" si="148"/>
        <v>0</v>
      </c>
    </row>
    <row r="249" spans="1:16" x14ac:dyDescent="0.25">
      <c r="A249" s="130"/>
      <c r="B249" s="125" t="s">
        <v>397</v>
      </c>
      <c r="C249" s="149"/>
      <c r="D249" s="163">
        <v>60399</v>
      </c>
      <c r="E249" s="132" t="s">
        <v>406</v>
      </c>
      <c r="F249" s="164">
        <v>28121249</v>
      </c>
      <c r="G249" s="165"/>
      <c r="H249" s="165">
        <f t="shared" si="149"/>
        <v>28121249</v>
      </c>
      <c r="I249" s="165"/>
      <c r="J249" s="165"/>
      <c r="K249" s="165"/>
      <c r="L249" s="165">
        <f t="shared" si="145"/>
        <v>0</v>
      </c>
      <c r="M249" s="165">
        <v>3387510.11</v>
      </c>
      <c r="N249" s="165"/>
      <c r="O249" s="165">
        <f t="shared" si="150"/>
        <v>3387510.11</v>
      </c>
      <c r="P249" s="165">
        <f t="shared" si="148"/>
        <v>24733738.890000001</v>
      </c>
    </row>
    <row r="250" spans="1:16" x14ac:dyDescent="0.25">
      <c r="A250" s="130"/>
      <c r="B250" s="125"/>
      <c r="C250" s="149"/>
      <c r="D250" s="166"/>
      <c r="E250" s="132"/>
      <c r="F250" s="164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</row>
    <row r="251" spans="1:16" ht="23.25" hidden="1" x14ac:dyDescent="0.25">
      <c r="A251" s="130"/>
      <c r="B251" s="125"/>
      <c r="C251" s="149"/>
      <c r="D251" s="162">
        <v>604</v>
      </c>
      <c r="E251" s="139" t="s">
        <v>407</v>
      </c>
      <c r="F251" s="159">
        <f t="shared" ref="F251:O251" si="151">(F252+F253+F254+F255)</f>
        <v>0</v>
      </c>
      <c r="G251" s="165">
        <f t="shared" si="151"/>
        <v>0</v>
      </c>
      <c r="H251" s="165">
        <f t="shared" si="151"/>
        <v>0</v>
      </c>
      <c r="I251" s="165">
        <f t="shared" si="151"/>
        <v>0</v>
      </c>
      <c r="J251" s="165">
        <f t="shared" si="151"/>
        <v>0</v>
      </c>
      <c r="K251" s="165">
        <f t="shared" si="151"/>
        <v>0</v>
      </c>
      <c r="L251" s="165">
        <f t="shared" ref="L251" si="152">(L252+L253+L254+L255)</f>
        <v>0</v>
      </c>
      <c r="M251" s="165">
        <f t="shared" si="151"/>
        <v>0</v>
      </c>
      <c r="N251" s="165"/>
      <c r="O251" s="165">
        <f t="shared" si="151"/>
        <v>0</v>
      </c>
      <c r="P251" s="165"/>
    </row>
    <row r="252" spans="1:16" ht="23.25" hidden="1" x14ac:dyDescent="0.25">
      <c r="A252" s="130"/>
      <c r="B252" s="125" t="s">
        <v>397</v>
      </c>
      <c r="C252" s="157"/>
      <c r="D252" s="163">
        <v>60401</v>
      </c>
      <c r="E252" s="132" t="s">
        <v>408</v>
      </c>
      <c r="F252" s="164">
        <v>0</v>
      </c>
      <c r="G252" s="165">
        <v>0</v>
      </c>
      <c r="H252" s="165">
        <v>0</v>
      </c>
      <c r="I252" s="165">
        <v>0</v>
      </c>
      <c r="J252" s="165">
        <v>0</v>
      </c>
      <c r="K252" s="165">
        <v>0</v>
      </c>
      <c r="L252" s="165">
        <v>0</v>
      </c>
      <c r="M252" s="165">
        <v>0</v>
      </c>
      <c r="N252" s="165"/>
      <c r="O252" s="165">
        <v>0</v>
      </c>
      <c r="P252" s="165">
        <f t="shared" ref="P252" si="153">(P253+P254+P255+P256)</f>
        <v>0</v>
      </c>
    </row>
    <row r="253" spans="1:16" ht="23.25" hidden="1" x14ac:dyDescent="0.25">
      <c r="A253" s="130"/>
      <c r="B253" s="125" t="s">
        <v>397</v>
      </c>
      <c r="C253" s="149"/>
      <c r="D253" s="163">
        <v>60402</v>
      </c>
      <c r="E253" s="132" t="s">
        <v>409</v>
      </c>
      <c r="F253" s="164">
        <v>0</v>
      </c>
      <c r="G253" s="165">
        <v>0</v>
      </c>
      <c r="H253" s="165">
        <v>0</v>
      </c>
      <c r="I253" s="165">
        <v>0</v>
      </c>
      <c r="J253" s="165">
        <v>0</v>
      </c>
      <c r="K253" s="165">
        <v>0</v>
      </c>
      <c r="L253" s="165">
        <v>0</v>
      </c>
      <c r="M253" s="165">
        <v>0</v>
      </c>
      <c r="N253" s="165"/>
      <c r="O253" s="165">
        <v>0</v>
      </c>
      <c r="P253" s="165">
        <v>0</v>
      </c>
    </row>
    <row r="254" spans="1:16" ht="23.25" hidden="1" x14ac:dyDescent="0.25">
      <c r="A254" s="130"/>
      <c r="B254" s="125"/>
      <c r="C254" s="149"/>
      <c r="D254" s="163">
        <v>60403</v>
      </c>
      <c r="E254" s="132" t="s">
        <v>410</v>
      </c>
      <c r="F254" s="164">
        <v>0</v>
      </c>
      <c r="G254" s="165">
        <v>0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5">
        <v>0</v>
      </c>
      <c r="N254" s="165"/>
      <c r="O254" s="165">
        <v>0</v>
      </c>
      <c r="P254" s="165">
        <v>0</v>
      </c>
    </row>
    <row r="255" spans="1:16" ht="23.25" hidden="1" x14ac:dyDescent="0.25">
      <c r="A255" s="130"/>
      <c r="B255" s="125"/>
      <c r="C255" s="149"/>
      <c r="D255" s="163">
        <v>60404</v>
      </c>
      <c r="E255" s="132" t="s">
        <v>411</v>
      </c>
      <c r="F255" s="164">
        <f t="shared" ref="F255:O255" si="154">(F256)</f>
        <v>0</v>
      </c>
      <c r="G255" s="165">
        <f t="shared" si="154"/>
        <v>0</v>
      </c>
      <c r="H255" s="165">
        <f t="shared" si="154"/>
        <v>0</v>
      </c>
      <c r="I255" s="165">
        <f t="shared" si="154"/>
        <v>0</v>
      </c>
      <c r="J255" s="165">
        <f t="shared" si="154"/>
        <v>0</v>
      </c>
      <c r="K255" s="165">
        <f t="shared" si="154"/>
        <v>0</v>
      </c>
      <c r="L255" s="165">
        <f t="shared" si="154"/>
        <v>0</v>
      </c>
      <c r="M255" s="165">
        <f t="shared" si="154"/>
        <v>0</v>
      </c>
      <c r="N255" s="165"/>
      <c r="O255" s="165">
        <f t="shared" si="154"/>
        <v>0</v>
      </c>
      <c r="P255" s="165">
        <v>0</v>
      </c>
    </row>
    <row r="256" spans="1:16" hidden="1" x14ac:dyDescent="0.25">
      <c r="A256" s="130"/>
      <c r="B256" s="125" t="s">
        <v>397</v>
      </c>
      <c r="C256" s="149"/>
      <c r="D256" s="166"/>
      <c r="E256" s="132"/>
      <c r="F256" s="164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>
        <f t="shared" ref="P256" si="155">(P257)</f>
        <v>0</v>
      </c>
    </row>
    <row r="257" spans="1:16" ht="23.25" hidden="1" x14ac:dyDescent="0.25">
      <c r="A257" s="130"/>
      <c r="B257" s="125"/>
      <c r="C257" s="149"/>
      <c r="D257" s="162">
        <v>605</v>
      </c>
      <c r="E257" s="139" t="s">
        <v>412</v>
      </c>
      <c r="F257" s="159">
        <f t="shared" ref="F257:O257" si="156">F258</f>
        <v>0</v>
      </c>
      <c r="G257" s="165">
        <f t="shared" si="156"/>
        <v>0</v>
      </c>
      <c r="H257" s="165">
        <f t="shared" si="156"/>
        <v>0</v>
      </c>
      <c r="I257" s="165">
        <f t="shared" si="156"/>
        <v>0</v>
      </c>
      <c r="J257" s="165">
        <f t="shared" si="156"/>
        <v>0</v>
      </c>
      <c r="K257" s="165">
        <f t="shared" si="156"/>
        <v>0</v>
      </c>
      <c r="L257" s="165">
        <f t="shared" si="156"/>
        <v>0</v>
      </c>
      <c r="M257" s="165">
        <f t="shared" si="156"/>
        <v>0</v>
      </c>
      <c r="N257" s="165"/>
      <c r="O257" s="165">
        <f t="shared" si="156"/>
        <v>0</v>
      </c>
      <c r="P257" s="165"/>
    </row>
    <row r="258" spans="1:16" ht="23.25" hidden="1" x14ac:dyDescent="0.25">
      <c r="A258" s="130"/>
      <c r="B258" s="125" t="s">
        <v>397</v>
      </c>
      <c r="C258" s="157"/>
      <c r="D258" s="163">
        <v>60501</v>
      </c>
      <c r="E258" s="140" t="s">
        <v>413</v>
      </c>
      <c r="F258" s="164">
        <v>0</v>
      </c>
      <c r="G258" s="165">
        <v>0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5">
        <v>0</v>
      </c>
      <c r="N258" s="165"/>
      <c r="O258" s="165">
        <v>0</v>
      </c>
      <c r="P258" s="165">
        <f t="shared" ref="P258" si="157">P259</f>
        <v>0</v>
      </c>
    </row>
    <row r="259" spans="1:16" x14ac:dyDescent="0.25">
      <c r="A259" s="130"/>
      <c r="B259" s="125" t="s">
        <v>397</v>
      </c>
      <c r="C259" s="149"/>
      <c r="D259" s="166"/>
      <c r="E259" s="132"/>
      <c r="F259" s="164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</row>
    <row r="260" spans="1:16" ht="23.25" x14ac:dyDescent="0.25">
      <c r="A260" s="130"/>
      <c r="B260" s="125"/>
      <c r="C260" s="149"/>
      <c r="D260" s="162">
        <v>606</v>
      </c>
      <c r="E260" s="139" t="s">
        <v>414</v>
      </c>
      <c r="F260" s="159">
        <f t="shared" ref="F260:P260" si="158">(F261+F262)</f>
        <v>3396582</v>
      </c>
      <c r="G260" s="172">
        <f t="shared" si="158"/>
        <v>0</v>
      </c>
      <c r="H260" s="172">
        <f t="shared" si="158"/>
        <v>3396582</v>
      </c>
      <c r="I260" s="172">
        <f t="shared" si="158"/>
        <v>0</v>
      </c>
      <c r="J260" s="172">
        <f t="shared" si="158"/>
        <v>0</v>
      </c>
      <c r="K260" s="172">
        <f t="shared" si="158"/>
        <v>0</v>
      </c>
      <c r="L260" s="172">
        <f t="shared" ref="L260" si="159">(L261+L262)</f>
        <v>0</v>
      </c>
      <c r="M260" s="172">
        <f t="shared" si="158"/>
        <v>0</v>
      </c>
      <c r="N260" s="172"/>
      <c r="O260" s="172">
        <f t="shared" si="158"/>
        <v>0</v>
      </c>
      <c r="P260" s="172">
        <f t="shared" si="158"/>
        <v>3396582</v>
      </c>
    </row>
    <row r="261" spans="1:16" x14ac:dyDescent="0.25">
      <c r="A261" s="130"/>
      <c r="B261" s="125" t="s">
        <v>397</v>
      </c>
      <c r="C261" s="157"/>
      <c r="D261" s="163">
        <v>60601</v>
      </c>
      <c r="E261" s="132" t="s">
        <v>415</v>
      </c>
      <c r="F261" s="164">
        <v>3396582</v>
      </c>
      <c r="G261" s="164"/>
      <c r="H261" s="165">
        <f>+F261+G261</f>
        <v>3396582</v>
      </c>
      <c r="I261" s="165"/>
      <c r="J261" s="164">
        <v>0</v>
      </c>
      <c r="K261" s="164">
        <v>0</v>
      </c>
      <c r="L261" s="165">
        <f t="shared" ref="L261:L262" si="160">+I261+J261+K261</f>
        <v>0</v>
      </c>
      <c r="M261" s="165"/>
      <c r="N261" s="165"/>
      <c r="O261" s="165">
        <f>+L261+M261</f>
        <v>0</v>
      </c>
      <c r="P261" s="165">
        <f t="shared" ref="P261:P262" si="161">+H261-O261-N261</f>
        <v>3396582</v>
      </c>
    </row>
    <row r="262" spans="1:16" x14ac:dyDescent="0.25">
      <c r="A262" s="130"/>
      <c r="B262" s="125" t="s">
        <v>397</v>
      </c>
      <c r="C262" s="149"/>
      <c r="D262" s="163">
        <v>60602</v>
      </c>
      <c r="E262" s="132" t="s">
        <v>416</v>
      </c>
      <c r="F262" s="164">
        <v>0</v>
      </c>
      <c r="G262" s="165"/>
      <c r="H262" s="165">
        <f>+F262+G262</f>
        <v>0</v>
      </c>
      <c r="I262" s="165">
        <v>0</v>
      </c>
      <c r="J262" s="165">
        <v>0</v>
      </c>
      <c r="K262" s="165">
        <v>0</v>
      </c>
      <c r="L262" s="165">
        <f t="shared" si="160"/>
        <v>0</v>
      </c>
      <c r="M262" s="165"/>
      <c r="N262" s="165"/>
      <c r="O262" s="165">
        <f>+L262+M262</f>
        <v>0</v>
      </c>
      <c r="P262" s="165">
        <f t="shared" si="161"/>
        <v>0</v>
      </c>
    </row>
    <row r="263" spans="1:16" x14ac:dyDescent="0.25">
      <c r="A263" s="130"/>
      <c r="B263" s="125"/>
      <c r="C263" s="149"/>
      <c r="D263" s="163"/>
      <c r="E263" s="132"/>
      <c r="F263" s="164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</row>
    <row r="264" spans="1:16" x14ac:dyDescent="0.25">
      <c r="A264" s="145" t="s">
        <v>417</v>
      </c>
      <c r="B264" s="125"/>
      <c r="C264" s="149"/>
      <c r="D264" s="162">
        <v>607</v>
      </c>
      <c r="E264" s="139"/>
      <c r="F264" s="159">
        <f t="shared" ref="F264:P264" si="162">(F265+F266)</f>
        <v>19005300</v>
      </c>
      <c r="G264" s="172">
        <f t="shared" si="162"/>
        <v>0</v>
      </c>
      <c r="H264" s="172">
        <f t="shared" si="162"/>
        <v>19005300</v>
      </c>
      <c r="I264" s="172">
        <f t="shared" si="162"/>
        <v>0</v>
      </c>
      <c r="J264" s="172">
        <f t="shared" si="162"/>
        <v>0</v>
      </c>
      <c r="K264" s="172">
        <f t="shared" si="162"/>
        <v>0</v>
      </c>
      <c r="L264" s="172">
        <f t="shared" ref="L264" si="163">(L265+L266)</f>
        <v>0</v>
      </c>
      <c r="M264" s="172">
        <f t="shared" si="162"/>
        <v>19005300</v>
      </c>
      <c r="N264" s="172"/>
      <c r="O264" s="172">
        <f t="shared" si="162"/>
        <v>19005300</v>
      </c>
      <c r="P264" s="172">
        <f t="shared" si="162"/>
        <v>0</v>
      </c>
    </row>
    <row r="265" spans="1:16" ht="23.25" x14ac:dyDescent="0.25">
      <c r="A265" s="130"/>
      <c r="B265" s="125"/>
      <c r="C265" s="157">
        <f>+F264</f>
        <v>19005300</v>
      </c>
      <c r="D265" s="163" t="s">
        <v>419</v>
      </c>
      <c r="E265" s="140" t="s">
        <v>420</v>
      </c>
      <c r="F265" s="164">
        <v>19005300</v>
      </c>
      <c r="G265" s="164">
        <v>0</v>
      </c>
      <c r="H265" s="165">
        <f>+F265+G265</f>
        <v>19005300</v>
      </c>
      <c r="I265" s="164"/>
      <c r="J265" s="165"/>
      <c r="K265" s="165"/>
      <c r="L265" s="165">
        <f t="shared" ref="L265:L266" si="164">+I265+J265+K265</f>
        <v>0</v>
      </c>
      <c r="M265" s="165">
        <v>19005300</v>
      </c>
      <c r="N265" s="165"/>
      <c r="O265" s="165">
        <f>+L265+M265</f>
        <v>19005300</v>
      </c>
      <c r="P265" s="165">
        <f t="shared" ref="P265" si="165">+H265-O265-N265</f>
        <v>0</v>
      </c>
    </row>
    <row r="266" spans="1:16" ht="23.25" hidden="1" x14ac:dyDescent="0.25">
      <c r="A266" s="130"/>
      <c r="B266" s="125" t="s">
        <v>418</v>
      </c>
      <c r="C266" s="149"/>
      <c r="D266" s="163" t="s">
        <v>421</v>
      </c>
      <c r="E266" s="140" t="s">
        <v>637</v>
      </c>
      <c r="F266" s="164">
        <v>0</v>
      </c>
      <c r="G266" s="165">
        <v>0</v>
      </c>
      <c r="H266" s="165">
        <v>0</v>
      </c>
      <c r="I266" s="165">
        <v>0</v>
      </c>
      <c r="J266" s="165">
        <v>0</v>
      </c>
      <c r="K266" s="165">
        <v>0</v>
      </c>
      <c r="L266" s="165">
        <f t="shared" si="164"/>
        <v>0</v>
      </c>
      <c r="M266" s="165">
        <v>0</v>
      </c>
      <c r="N266" s="165"/>
      <c r="O266" s="165">
        <v>0</v>
      </c>
      <c r="P266" s="165">
        <f>+H266-O266</f>
        <v>0</v>
      </c>
    </row>
    <row r="267" spans="1:16" x14ac:dyDescent="0.25">
      <c r="A267" s="135"/>
      <c r="B267" s="125" t="s">
        <v>418</v>
      </c>
      <c r="C267" s="149"/>
      <c r="D267" s="134"/>
      <c r="E267" s="134"/>
      <c r="F267" s="180"/>
      <c r="G267" s="180"/>
      <c r="H267" s="180"/>
      <c r="I267" s="180"/>
      <c r="J267" s="180"/>
      <c r="K267" s="180"/>
      <c r="L267" s="180"/>
      <c r="M267" s="180"/>
      <c r="N267" s="180"/>
      <c r="O267" s="230"/>
      <c r="P267" s="165"/>
    </row>
    <row r="268" spans="1:16" x14ac:dyDescent="0.25">
      <c r="A268" s="146" t="s">
        <v>422</v>
      </c>
      <c r="B268" s="152"/>
      <c r="C268" s="153" t="e">
        <f>+C271+C281+#REF!</f>
        <v>#REF!</v>
      </c>
      <c r="D268" s="158">
        <v>5</v>
      </c>
      <c r="E268" s="134"/>
      <c r="F268" s="159">
        <f>+F270+F308</f>
        <v>786488806</v>
      </c>
      <c r="G268" s="159">
        <f t="shared" ref="G268:P268" si="166">+G270+G308</f>
        <v>0</v>
      </c>
      <c r="H268" s="159">
        <f t="shared" si="166"/>
        <v>786488806</v>
      </c>
      <c r="I268" s="159">
        <f t="shared" si="166"/>
        <v>0</v>
      </c>
      <c r="J268" s="159">
        <f t="shared" si="166"/>
        <v>0</v>
      </c>
      <c r="K268" s="159">
        <f t="shared" si="166"/>
        <v>0</v>
      </c>
      <c r="L268" s="159">
        <f t="shared" si="166"/>
        <v>0</v>
      </c>
      <c r="M268" s="159">
        <f t="shared" si="166"/>
        <v>121900</v>
      </c>
      <c r="N268" s="159">
        <f t="shared" si="166"/>
        <v>0</v>
      </c>
      <c r="O268" s="172">
        <f t="shared" si="166"/>
        <v>121900</v>
      </c>
      <c r="P268" s="159">
        <f t="shared" si="166"/>
        <v>786366906</v>
      </c>
    </row>
    <row r="269" spans="1:16" x14ac:dyDescent="0.25">
      <c r="A269" s="141"/>
      <c r="B269" s="152"/>
      <c r="C269" s="153"/>
      <c r="D269" s="158"/>
      <c r="E269" s="128"/>
      <c r="F269" s="159"/>
      <c r="G269" s="159"/>
      <c r="H269" s="159"/>
      <c r="I269" s="159"/>
      <c r="J269" s="159"/>
      <c r="K269" s="159"/>
      <c r="L269" s="159"/>
      <c r="M269" s="159"/>
      <c r="N269" s="159"/>
      <c r="O269" s="172"/>
      <c r="P269" s="159"/>
    </row>
    <row r="270" spans="1:16" ht="34.5" x14ac:dyDescent="0.25">
      <c r="A270" s="130" t="s">
        <v>424</v>
      </c>
      <c r="B270" s="125"/>
      <c r="C270" s="149"/>
      <c r="D270" s="163"/>
      <c r="E270" s="128" t="s">
        <v>423</v>
      </c>
      <c r="F270" s="159">
        <f>+F281+F271</f>
        <v>786488806</v>
      </c>
      <c r="G270" s="159">
        <f t="shared" ref="G270:P270" si="167">+G281+G271</f>
        <v>0</v>
      </c>
      <c r="H270" s="159">
        <f t="shared" si="167"/>
        <v>786488806</v>
      </c>
      <c r="I270" s="159">
        <f t="shared" si="167"/>
        <v>0</v>
      </c>
      <c r="J270" s="159">
        <f t="shared" si="167"/>
        <v>0</v>
      </c>
      <c r="K270" s="159">
        <f t="shared" si="167"/>
        <v>0</v>
      </c>
      <c r="L270" s="159">
        <f t="shared" si="167"/>
        <v>0</v>
      </c>
      <c r="M270" s="159">
        <f t="shared" si="167"/>
        <v>121900</v>
      </c>
      <c r="N270" s="159">
        <f t="shared" si="167"/>
        <v>0</v>
      </c>
      <c r="O270" s="172">
        <f t="shared" si="167"/>
        <v>121900</v>
      </c>
      <c r="P270" s="159">
        <f t="shared" si="167"/>
        <v>786366906</v>
      </c>
    </row>
    <row r="271" spans="1:16" ht="23.25" x14ac:dyDescent="0.25">
      <c r="A271" s="130"/>
      <c r="B271" s="125"/>
      <c r="C271" s="157">
        <f>+F271</f>
        <v>160000000</v>
      </c>
      <c r="D271" s="162">
        <v>502</v>
      </c>
      <c r="E271" s="139" t="s">
        <v>425</v>
      </c>
      <c r="F271" s="159">
        <f t="shared" ref="F271:P271" si="168">(F272+F274+F275+F276+F277+F278+F279+F280)</f>
        <v>160000000</v>
      </c>
      <c r="G271" s="172">
        <f t="shared" si="168"/>
        <v>0</v>
      </c>
      <c r="H271" s="172">
        <f t="shared" si="168"/>
        <v>160000000</v>
      </c>
      <c r="I271" s="172">
        <f t="shared" si="168"/>
        <v>0</v>
      </c>
      <c r="J271" s="172">
        <f t="shared" si="168"/>
        <v>0</v>
      </c>
      <c r="K271" s="172">
        <f t="shared" si="168"/>
        <v>0</v>
      </c>
      <c r="L271" s="172">
        <f t="shared" ref="L271" si="169">(L272+L274+L275+L276+L277+L278+L279+L280)</f>
        <v>0</v>
      </c>
      <c r="M271" s="172">
        <f t="shared" si="168"/>
        <v>0</v>
      </c>
      <c r="N271" s="172">
        <f t="shared" si="168"/>
        <v>0</v>
      </c>
      <c r="O271" s="172">
        <f t="shared" si="168"/>
        <v>0</v>
      </c>
      <c r="P271" s="172">
        <f t="shared" si="168"/>
        <v>160000000</v>
      </c>
    </row>
    <row r="272" spans="1:16" x14ac:dyDescent="0.25">
      <c r="A272" s="137"/>
      <c r="B272" s="125" t="s">
        <v>426</v>
      </c>
      <c r="C272" s="149"/>
      <c r="D272" s="163">
        <v>50201</v>
      </c>
      <c r="E272" s="132" t="s">
        <v>427</v>
      </c>
      <c r="F272" s="164">
        <v>70000000</v>
      </c>
      <c r="G272" s="164"/>
      <c r="H272" s="165">
        <f t="shared" ref="H272:H280" si="170">+F272+G272</f>
        <v>70000000</v>
      </c>
      <c r="I272" s="165"/>
      <c r="J272" s="164"/>
      <c r="K272" s="164"/>
      <c r="L272" s="165">
        <f t="shared" ref="L272:L280" si="171">+I272+J272+K272</f>
        <v>0</v>
      </c>
      <c r="M272" s="164"/>
      <c r="N272" s="164"/>
      <c r="O272" s="165">
        <f t="shared" ref="O272:O280" si="172">+L272+M272</f>
        <v>0</v>
      </c>
      <c r="P272" s="165">
        <f t="shared" ref="P272" si="173">+H272-O272-N272</f>
        <v>70000000</v>
      </c>
    </row>
    <row r="273" spans="1:16" hidden="1" x14ac:dyDescent="0.25">
      <c r="A273" s="130"/>
      <c r="B273" s="178"/>
      <c r="C273" s="179"/>
      <c r="D273" s="163"/>
      <c r="E273" s="132"/>
      <c r="F273" s="164">
        <v>0</v>
      </c>
      <c r="G273" s="164">
        <v>0</v>
      </c>
      <c r="H273" s="165">
        <f t="shared" si="170"/>
        <v>0</v>
      </c>
      <c r="I273" s="165"/>
      <c r="J273" s="165"/>
      <c r="K273" s="164">
        <v>0</v>
      </c>
      <c r="L273" s="165">
        <f t="shared" si="171"/>
        <v>0</v>
      </c>
      <c r="M273" s="165"/>
      <c r="N273" s="165"/>
      <c r="O273" s="165">
        <f t="shared" si="172"/>
        <v>0</v>
      </c>
      <c r="P273" s="165">
        <f t="shared" ref="P273:P279" si="174">+H273-O273</f>
        <v>0</v>
      </c>
    </row>
    <row r="274" spans="1:16" hidden="1" x14ac:dyDescent="0.25">
      <c r="A274" s="130"/>
      <c r="B274" s="125" t="s">
        <v>428</v>
      </c>
      <c r="C274" s="149"/>
      <c r="D274" s="163">
        <v>50202</v>
      </c>
      <c r="E274" s="132" t="s">
        <v>429</v>
      </c>
      <c r="F274" s="164">
        <v>0</v>
      </c>
      <c r="G274" s="164">
        <v>0</v>
      </c>
      <c r="H274" s="165">
        <f t="shared" si="170"/>
        <v>0</v>
      </c>
      <c r="I274" s="165"/>
      <c r="J274" s="165"/>
      <c r="K274" s="164">
        <v>0</v>
      </c>
      <c r="L274" s="165">
        <f t="shared" si="171"/>
        <v>0</v>
      </c>
      <c r="M274" s="165"/>
      <c r="N274" s="165"/>
      <c r="O274" s="165">
        <f t="shared" si="172"/>
        <v>0</v>
      </c>
      <c r="P274" s="165">
        <f t="shared" si="174"/>
        <v>0</v>
      </c>
    </row>
    <row r="275" spans="1:16" hidden="1" x14ac:dyDescent="0.25">
      <c r="A275" s="130"/>
      <c r="B275" s="125" t="s">
        <v>428</v>
      </c>
      <c r="C275" s="149"/>
      <c r="D275" s="163">
        <v>50203</v>
      </c>
      <c r="E275" s="132" t="s">
        <v>430</v>
      </c>
      <c r="F275" s="164">
        <v>0</v>
      </c>
      <c r="G275" s="164">
        <v>0</v>
      </c>
      <c r="H275" s="165">
        <f t="shared" si="170"/>
        <v>0</v>
      </c>
      <c r="I275" s="165"/>
      <c r="J275" s="165"/>
      <c r="K275" s="164">
        <v>0</v>
      </c>
      <c r="L275" s="165">
        <f t="shared" si="171"/>
        <v>0</v>
      </c>
      <c r="M275" s="165"/>
      <c r="N275" s="165"/>
      <c r="O275" s="165">
        <f t="shared" si="172"/>
        <v>0</v>
      </c>
      <c r="P275" s="165">
        <f t="shared" si="174"/>
        <v>0</v>
      </c>
    </row>
    <row r="276" spans="1:16" hidden="1" x14ac:dyDescent="0.25">
      <c r="A276" s="130"/>
      <c r="B276" s="125" t="s">
        <v>428</v>
      </c>
      <c r="C276" s="149"/>
      <c r="D276" s="163">
        <v>50204</v>
      </c>
      <c r="E276" s="132" t="s">
        <v>431</v>
      </c>
      <c r="F276" s="164">
        <v>0</v>
      </c>
      <c r="G276" s="164">
        <v>0</v>
      </c>
      <c r="H276" s="165">
        <f t="shared" si="170"/>
        <v>0</v>
      </c>
      <c r="I276" s="165"/>
      <c r="J276" s="165"/>
      <c r="K276" s="164">
        <v>0</v>
      </c>
      <c r="L276" s="165">
        <f t="shared" si="171"/>
        <v>0</v>
      </c>
      <c r="M276" s="165"/>
      <c r="N276" s="165"/>
      <c r="O276" s="165">
        <f t="shared" si="172"/>
        <v>0</v>
      </c>
      <c r="P276" s="165">
        <f t="shared" si="174"/>
        <v>0</v>
      </c>
    </row>
    <row r="277" spans="1:16" hidden="1" x14ac:dyDescent="0.25">
      <c r="A277" s="130"/>
      <c r="B277" s="125" t="s">
        <v>428</v>
      </c>
      <c r="C277" s="149"/>
      <c r="D277" s="163">
        <v>50205</v>
      </c>
      <c r="E277" s="132" t="s">
        <v>432</v>
      </c>
      <c r="F277" s="164">
        <v>0</v>
      </c>
      <c r="G277" s="164">
        <v>0</v>
      </c>
      <c r="H277" s="165">
        <f t="shared" si="170"/>
        <v>0</v>
      </c>
      <c r="I277" s="165"/>
      <c r="J277" s="165"/>
      <c r="K277" s="164">
        <v>0</v>
      </c>
      <c r="L277" s="165">
        <f t="shared" si="171"/>
        <v>0</v>
      </c>
      <c r="M277" s="165"/>
      <c r="N277" s="165"/>
      <c r="O277" s="165">
        <f t="shared" si="172"/>
        <v>0</v>
      </c>
      <c r="P277" s="165">
        <f t="shared" si="174"/>
        <v>0</v>
      </c>
    </row>
    <row r="278" spans="1:16" hidden="1" x14ac:dyDescent="0.25">
      <c r="A278" s="130"/>
      <c r="B278" s="125" t="s">
        <v>433</v>
      </c>
      <c r="C278" s="149"/>
      <c r="D278" s="163">
        <v>50206</v>
      </c>
      <c r="E278" s="132" t="s">
        <v>434</v>
      </c>
      <c r="F278" s="164">
        <v>0</v>
      </c>
      <c r="G278" s="164">
        <v>0</v>
      </c>
      <c r="H278" s="165">
        <f t="shared" si="170"/>
        <v>0</v>
      </c>
      <c r="I278" s="165"/>
      <c r="J278" s="165"/>
      <c r="K278" s="164">
        <v>0</v>
      </c>
      <c r="L278" s="165">
        <f t="shared" si="171"/>
        <v>0</v>
      </c>
      <c r="M278" s="165"/>
      <c r="N278" s="165"/>
      <c r="O278" s="165">
        <f t="shared" si="172"/>
        <v>0</v>
      </c>
      <c r="P278" s="165">
        <f t="shared" si="174"/>
        <v>0</v>
      </c>
    </row>
    <row r="279" spans="1:16" x14ac:dyDescent="0.25">
      <c r="A279" s="130"/>
      <c r="B279" s="125" t="s">
        <v>435</v>
      </c>
      <c r="C279" s="149"/>
      <c r="D279" s="163">
        <v>50207</v>
      </c>
      <c r="E279" s="132" t="s">
        <v>436</v>
      </c>
      <c r="F279" s="164">
        <v>0</v>
      </c>
      <c r="G279" s="164">
        <v>0</v>
      </c>
      <c r="H279" s="165">
        <f t="shared" si="170"/>
        <v>0</v>
      </c>
      <c r="I279" s="165"/>
      <c r="J279" s="165"/>
      <c r="K279" s="164">
        <v>0</v>
      </c>
      <c r="L279" s="165">
        <f t="shared" si="171"/>
        <v>0</v>
      </c>
      <c r="M279" s="165"/>
      <c r="N279" s="165"/>
      <c r="O279" s="165">
        <f t="shared" si="172"/>
        <v>0</v>
      </c>
      <c r="P279" s="165">
        <f t="shared" si="174"/>
        <v>0</v>
      </c>
    </row>
    <row r="280" spans="1:16" ht="23.25" x14ac:dyDescent="0.25">
      <c r="A280" s="134"/>
      <c r="B280" s="125" t="s">
        <v>437</v>
      </c>
      <c r="C280" s="149"/>
      <c r="D280" s="163">
        <v>50299</v>
      </c>
      <c r="E280" s="132" t="s">
        <v>438</v>
      </c>
      <c r="F280" s="164">
        <v>90000000</v>
      </c>
      <c r="G280" s="164"/>
      <c r="H280" s="165">
        <f t="shared" si="170"/>
        <v>90000000</v>
      </c>
      <c r="I280" s="165"/>
      <c r="J280" s="164"/>
      <c r="K280" s="165">
        <v>0</v>
      </c>
      <c r="L280" s="165">
        <f t="shared" si="171"/>
        <v>0</v>
      </c>
      <c r="M280" s="164"/>
      <c r="N280" s="164"/>
      <c r="O280" s="165">
        <f t="shared" si="172"/>
        <v>0</v>
      </c>
      <c r="P280" s="165">
        <f t="shared" ref="P280" si="175">+H280-O280-N280</f>
        <v>90000000</v>
      </c>
    </row>
    <row r="281" spans="1:16" x14ac:dyDescent="0.25">
      <c r="A281" s="147" t="s">
        <v>439</v>
      </c>
      <c r="B281" s="173"/>
      <c r="C281" s="179">
        <f>+C282+C296+C297+C302+C304</f>
        <v>626488806</v>
      </c>
      <c r="D281" s="163"/>
      <c r="E281" s="132"/>
      <c r="F281" s="159">
        <f>+F282+F292+F295+F301+F304</f>
        <v>626488806</v>
      </c>
      <c r="G281" s="159">
        <f t="shared" ref="G281:P281" si="176">+G282+G292+G295+G301+G303</f>
        <v>0</v>
      </c>
      <c r="H281" s="159">
        <f t="shared" si="176"/>
        <v>626488806</v>
      </c>
      <c r="I281" s="159">
        <f t="shared" si="176"/>
        <v>0</v>
      </c>
      <c r="J281" s="159">
        <f t="shared" si="176"/>
        <v>0</v>
      </c>
      <c r="K281" s="159">
        <f t="shared" si="176"/>
        <v>0</v>
      </c>
      <c r="L281" s="159">
        <f t="shared" ref="L281" si="177">+L282+L292+L295+L301+L303</f>
        <v>0</v>
      </c>
      <c r="M281" s="159">
        <f t="shared" si="176"/>
        <v>121900</v>
      </c>
      <c r="N281" s="159">
        <f t="shared" si="176"/>
        <v>0</v>
      </c>
      <c r="O281" s="172">
        <f t="shared" si="176"/>
        <v>121900</v>
      </c>
      <c r="P281" s="159">
        <f t="shared" si="176"/>
        <v>626366906</v>
      </c>
    </row>
    <row r="282" spans="1:16" x14ac:dyDescent="0.25">
      <c r="A282" s="145" t="s">
        <v>440</v>
      </c>
      <c r="B282" s="125"/>
      <c r="C282" s="157">
        <f>+F282+C296+C297</f>
        <v>338588806</v>
      </c>
      <c r="D282" s="162">
        <v>501</v>
      </c>
      <c r="E282" s="139"/>
      <c r="F282" s="159">
        <f>SUM(F283:F290)</f>
        <v>338588806</v>
      </c>
      <c r="G282" s="172">
        <f t="shared" ref="G282:P282" si="178">(G283+G284+G285+G286+G287+G288+G289+G290)</f>
        <v>0</v>
      </c>
      <c r="H282" s="172">
        <f t="shared" si="178"/>
        <v>338588806</v>
      </c>
      <c r="I282" s="172">
        <f t="shared" si="178"/>
        <v>0</v>
      </c>
      <c r="J282" s="172">
        <f t="shared" si="178"/>
        <v>0</v>
      </c>
      <c r="K282" s="172">
        <f t="shared" si="178"/>
        <v>0</v>
      </c>
      <c r="L282" s="172">
        <f t="shared" ref="L282" si="179">(L283+L284+L285+L286+L287+L288+L289+L290)</f>
        <v>0</v>
      </c>
      <c r="M282" s="172">
        <f t="shared" si="178"/>
        <v>121900</v>
      </c>
      <c r="N282" s="172">
        <f t="shared" si="178"/>
        <v>0</v>
      </c>
      <c r="O282" s="172">
        <f t="shared" si="178"/>
        <v>121900</v>
      </c>
      <c r="P282" s="172">
        <f t="shared" si="178"/>
        <v>338466906</v>
      </c>
    </row>
    <row r="283" spans="1:16" ht="23.25" x14ac:dyDescent="0.25">
      <c r="A283" s="130"/>
      <c r="B283" s="125" t="s">
        <v>441</v>
      </c>
      <c r="C283" s="149"/>
      <c r="D283" s="163">
        <v>50101</v>
      </c>
      <c r="E283" s="132" t="s">
        <v>442</v>
      </c>
      <c r="F283" s="164">
        <v>2000000</v>
      </c>
      <c r="G283" s="164"/>
      <c r="H283" s="165">
        <f t="shared" ref="H283:H290" si="180">+F283+G283</f>
        <v>2000000</v>
      </c>
      <c r="I283" s="164"/>
      <c r="J283" s="164"/>
      <c r="K283" s="164"/>
      <c r="L283" s="165">
        <f t="shared" ref="L283:L290" si="181">+I283+J283+K283</f>
        <v>0</v>
      </c>
      <c r="M283" s="164"/>
      <c r="N283" s="164"/>
      <c r="O283" s="165">
        <f t="shared" ref="O283:O290" si="182">+L283+M283</f>
        <v>0</v>
      </c>
      <c r="P283" s="165">
        <f t="shared" ref="P283:P290" si="183">+H283-O283-N283</f>
        <v>2000000</v>
      </c>
    </row>
    <row r="284" spans="1:16" x14ac:dyDescent="0.25">
      <c r="A284" s="130"/>
      <c r="B284" s="125" t="s">
        <v>441</v>
      </c>
      <c r="C284" s="149"/>
      <c r="D284" s="163">
        <v>50102</v>
      </c>
      <c r="E284" s="132" t="s">
        <v>443</v>
      </c>
      <c r="F284" s="164">
        <v>108068806</v>
      </c>
      <c r="G284" s="164"/>
      <c r="H284" s="165">
        <f t="shared" si="180"/>
        <v>108068806</v>
      </c>
      <c r="I284" s="164"/>
      <c r="J284" s="164"/>
      <c r="K284" s="164"/>
      <c r="L284" s="165">
        <f t="shared" si="181"/>
        <v>0</v>
      </c>
      <c r="M284" s="164">
        <v>121900</v>
      </c>
      <c r="N284" s="164"/>
      <c r="O284" s="165">
        <f t="shared" si="182"/>
        <v>121900</v>
      </c>
      <c r="P284" s="165">
        <f t="shared" si="183"/>
        <v>107946906</v>
      </c>
    </row>
    <row r="285" spans="1:16" x14ac:dyDescent="0.25">
      <c r="A285" s="130"/>
      <c r="B285" s="125" t="s">
        <v>441</v>
      </c>
      <c r="C285" s="149"/>
      <c r="D285" s="163">
        <v>50103</v>
      </c>
      <c r="E285" s="132" t="s">
        <v>444</v>
      </c>
      <c r="F285" s="164">
        <v>16250000</v>
      </c>
      <c r="G285" s="164"/>
      <c r="H285" s="165">
        <f t="shared" si="180"/>
        <v>16250000</v>
      </c>
      <c r="I285" s="164"/>
      <c r="J285" s="164"/>
      <c r="K285" s="164"/>
      <c r="L285" s="165">
        <f t="shared" si="181"/>
        <v>0</v>
      </c>
      <c r="M285" s="164"/>
      <c r="N285" s="164"/>
      <c r="O285" s="165">
        <f t="shared" si="182"/>
        <v>0</v>
      </c>
      <c r="P285" s="165">
        <f t="shared" si="183"/>
        <v>16250000</v>
      </c>
    </row>
    <row r="286" spans="1:16" x14ac:dyDescent="0.25">
      <c r="A286" s="130"/>
      <c r="B286" s="125" t="s">
        <v>441</v>
      </c>
      <c r="C286" s="149"/>
      <c r="D286" s="163">
        <v>50104</v>
      </c>
      <c r="E286" s="132" t="s">
        <v>445</v>
      </c>
      <c r="F286" s="164">
        <v>25900000</v>
      </c>
      <c r="G286" s="164"/>
      <c r="H286" s="165">
        <f t="shared" si="180"/>
        <v>25900000</v>
      </c>
      <c r="I286" s="164"/>
      <c r="J286" s="164"/>
      <c r="K286" s="164"/>
      <c r="L286" s="165">
        <f t="shared" si="181"/>
        <v>0</v>
      </c>
      <c r="M286" s="164"/>
      <c r="N286" s="164"/>
      <c r="O286" s="165">
        <f t="shared" si="182"/>
        <v>0</v>
      </c>
      <c r="P286" s="165">
        <f t="shared" si="183"/>
        <v>25900000</v>
      </c>
    </row>
    <row r="287" spans="1:16" x14ac:dyDescent="0.25">
      <c r="A287" s="130"/>
      <c r="B287" s="125" t="s">
        <v>441</v>
      </c>
      <c r="C287" s="149"/>
      <c r="D287" s="163">
        <v>50105</v>
      </c>
      <c r="E287" s="132" t="s">
        <v>446</v>
      </c>
      <c r="F287" s="164">
        <v>153370000</v>
      </c>
      <c r="G287" s="164">
        <v>0</v>
      </c>
      <c r="H287" s="165">
        <f t="shared" si="180"/>
        <v>153370000</v>
      </c>
      <c r="I287" s="164"/>
      <c r="J287" s="164"/>
      <c r="K287" s="164"/>
      <c r="L287" s="165">
        <f t="shared" si="181"/>
        <v>0</v>
      </c>
      <c r="M287" s="164">
        <v>0</v>
      </c>
      <c r="N287" s="164"/>
      <c r="O287" s="165">
        <f t="shared" si="182"/>
        <v>0</v>
      </c>
      <c r="P287" s="165">
        <f t="shared" si="183"/>
        <v>153370000</v>
      </c>
    </row>
    <row r="288" spans="1:16" ht="23.25" x14ac:dyDescent="0.25">
      <c r="A288" s="130"/>
      <c r="B288" s="125" t="s">
        <v>441</v>
      </c>
      <c r="C288" s="149"/>
      <c r="D288" s="163">
        <v>50106</v>
      </c>
      <c r="E288" s="132" t="s">
        <v>447</v>
      </c>
      <c r="F288" s="164"/>
      <c r="G288" s="164"/>
      <c r="H288" s="165">
        <f t="shared" si="180"/>
        <v>0</v>
      </c>
      <c r="I288" s="164"/>
      <c r="J288" s="164"/>
      <c r="K288" s="164"/>
      <c r="L288" s="165">
        <f t="shared" si="181"/>
        <v>0</v>
      </c>
      <c r="M288" s="164">
        <v>0</v>
      </c>
      <c r="N288" s="164"/>
      <c r="O288" s="165">
        <f t="shared" si="182"/>
        <v>0</v>
      </c>
      <c r="P288" s="165">
        <f t="shared" si="183"/>
        <v>0</v>
      </c>
    </row>
    <row r="289" spans="1:16" ht="23.25" x14ac:dyDescent="0.25">
      <c r="A289" s="130"/>
      <c r="B289" s="125" t="s">
        <v>441</v>
      </c>
      <c r="C289" s="149"/>
      <c r="D289" s="163">
        <v>50107</v>
      </c>
      <c r="E289" s="132" t="s">
        <v>448</v>
      </c>
      <c r="F289" s="164">
        <v>0</v>
      </c>
      <c r="G289" s="164"/>
      <c r="H289" s="165">
        <f t="shared" si="180"/>
        <v>0</v>
      </c>
      <c r="I289" s="165"/>
      <c r="J289" s="164"/>
      <c r="K289" s="165"/>
      <c r="L289" s="165">
        <f t="shared" si="181"/>
        <v>0</v>
      </c>
      <c r="M289" s="164">
        <v>0</v>
      </c>
      <c r="N289" s="164"/>
      <c r="O289" s="165">
        <f t="shared" si="182"/>
        <v>0</v>
      </c>
      <c r="P289" s="165">
        <f t="shared" si="183"/>
        <v>0</v>
      </c>
    </row>
    <row r="290" spans="1:16" x14ac:dyDescent="0.25">
      <c r="A290" s="130"/>
      <c r="B290" s="125" t="s">
        <v>441</v>
      </c>
      <c r="C290" s="149"/>
      <c r="D290" s="163">
        <v>50199</v>
      </c>
      <c r="E290" s="132" t="s">
        <v>449</v>
      </c>
      <c r="F290" s="164">
        <v>33000000</v>
      </c>
      <c r="G290" s="164">
        <v>0</v>
      </c>
      <c r="H290" s="165">
        <f t="shared" si="180"/>
        <v>33000000</v>
      </c>
      <c r="I290" s="165"/>
      <c r="J290" s="164"/>
      <c r="K290" s="165"/>
      <c r="L290" s="165">
        <f t="shared" si="181"/>
        <v>0</v>
      </c>
      <c r="M290" s="164">
        <v>0</v>
      </c>
      <c r="N290" s="164"/>
      <c r="O290" s="165">
        <f t="shared" si="182"/>
        <v>0</v>
      </c>
      <c r="P290" s="165">
        <f t="shared" si="183"/>
        <v>33000000</v>
      </c>
    </row>
    <row r="291" spans="1:16" x14ac:dyDescent="0.25">
      <c r="A291" s="130"/>
      <c r="B291" s="125"/>
      <c r="C291" s="149"/>
      <c r="D291" s="163"/>
      <c r="E291" s="132"/>
      <c r="F291" s="164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</row>
    <row r="292" spans="1:16" hidden="1" x14ac:dyDescent="0.25">
      <c r="A292" s="130"/>
      <c r="B292" s="125"/>
      <c r="C292" s="149"/>
      <c r="D292" s="162">
        <v>599</v>
      </c>
      <c r="E292" s="139" t="s">
        <v>450</v>
      </c>
      <c r="F292" s="159">
        <f t="shared" ref="F292:P292" si="184">F293</f>
        <v>0</v>
      </c>
      <c r="G292" s="165">
        <f t="shared" si="184"/>
        <v>0</v>
      </c>
      <c r="H292" s="165">
        <f t="shared" si="184"/>
        <v>0</v>
      </c>
      <c r="I292" s="165">
        <f t="shared" si="184"/>
        <v>0</v>
      </c>
      <c r="J292" s="165">
        <f t="shared" si="184"/>
        <v>0</v>
      </c>
      <c r="K292" s="165">
        <f t="shared" si="184"/>
        <v>0</v>
      </c>
      <c r="L292" s="165">
        <f t="shared" si="184"/>
        <v>0</v>
      </c>
      <c r="M292" s="165">
        <f t="shared" si="184"/>
        <v>0</v>
      </c>
      <c r="N292" s="165"/>
      <c r="O292" s="165">
        <f t="shared" si="184"/>
        <v>0</v>
      </c>
      <c r="P292" s="165">
        <f t="shared" si="184"/>
        <v>0</v>
      </c>
    </row>
    <row r="293" spans="1:16" hidden="1" x14ac:dyDescent="0.25">
      <c r="A293" s="137"/>
      <c r="B293" s="125" t="s">
        <v>441</v>
      </c>
      <c r="C293" s="149"/>
      <c r="D293" s="163">
        <v>59901</v>
      </c>
      <c r="E293" s="132" t="s">
        <v>451</v>
      </c>
      <c r="F293" s="164">
        <v>0</v>
      </c>
      <c r="G293" s="165">
        <v>0</v>
      </c>
      <c r="H293" s="165">
        <v>0</v>
      </c>
      <c r="I293" s="165">
        <v>0</v>
      </c>
      <c r="J293" s="165">
        <v>0</v>
      </c>
      <c r="K293" s="165">
        <v>0</v>
      </c>
      <c r="L293" s="165">
        <v>0</v>
      </c>
      <c r="M293" s="165">
        <v>0</v>
      </c>
      <c r="N293" s="165"/>
      <c r="O293" s="165">
        <v>0</v>
      </c>
      <c r="P293" s="165">
        <v>0</v>
      </c>
    </row>
    <row r="294" spans="1:16" hidden="1" x14ac:dyDescent="0.25">
      <c r="A294" s="130"/>
      <c r="B294" s="178"/>
      <c r="C294" s="179"/>
      <c r="D294" s="163"/>
      <c r="E294" s="132"/>
      <c r="F294" s="164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</row>
    <row r="295" spans="1:16" ht="23.25" hidden="1" x14ac:dyDescent="0.25">
      <c r="A295" s="130" t="s">
        <v>453</v>
      </c>
      <c r="B295" s="125"/>
      <c r="C295" s="149"/>
      <c r="D295" s="162">
        <v>503</v>
      </c>
      <c r="E295" s="139" t="s">
        <v>452</v>
      </c>
      <c r="F295" s="159">
        <f t="shared" ref="F295:P295" si="185">(F296+F298+F299)</f>
        <v>0</v>
      </c>
      <c r="G295" s="165">
        <f t="shared" si="185"/>
        <v>0</v>
      </c>
      <c r="H295" s="165">
        <f t="shared" si="185"/>
        <v>0</v>
      </c>
      <c r="I295" s="165">
        <f t="shared" si="185"/>
        <v>0</v>
      </c>
      <c r="J295" s="165">
        <f t="shared" si="185"/>
        <v>0</v>
      </c>
      <c r="K295" s="165">
        <f t="shared" si="185"/>
        <v>0</v>
      </c>
      <c r="L295" s="165">
        <f t="shared" ref="L295" si="186">(L296+L298+L299)</f>
        <v>0</v>
      </c>
      <c r="M295" s="165">
        <f t="shared" si="185"/>
        <v>0</v>
      </c>
      <c r="N295" s="165"/>
      <c r="O295" s="165">
        <f t="shared" si="185"/>
        <v>0</v>
      </c>
      <c r="P295" s="165">
        <f t="shared" si="185"/>
        <v>0</v>
      </c>
    </row>
    <row r="296" spans="1:16" hidden="1" x14ac:dyDescent="0.25">
      <c r="A296" s="130" t="s">
        <v>455</v>
      </c>
      <c r="B296" s="125"/>
      <c r="C296" s="157">
        <f>+F296</f>
        <v>0</v>
      </c>
      <c r="D296" s="163">
        <v>50301</v>
      </c>
      <c r="E296" s="132" t="s">
        <v>454</v>
      </c>
      <c r="F296" s="164">
        <v>0</v>
      </c>
      <c r="G296" s="165">
        <v>0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5">
        <v>0</v>
      </c>
      <c r="N296" s="165"/>
      <c r="O296" s="165">
        <v>0</v>
      </c>
      <c r="P296" s="165">
        <v>0</v>
      </c>
    </row>
    <row r="297" spans="1:16" hidden="1" x14ac:dyDescent="0.25">
      <c r="A297" s="130"/>
      <c r="B297" s="173"/>
      <c r="C297" s="179">
        <f>+F298+F299</f>
        <v>0</v>
      </c>
      <c r="D297" s="163"/>
      <c r="E297" s="132"/>
      <c r="F297" s="164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</row>
    <row r="298" spans="1:16" hidden="1" x14ac:dyDescent="0.25">
      <c r="A298" s="130"/>
      <c r="B298" s="125" t="s">
        <v>456</v>
      </c>
      <c r="C298" s="149"/>
      <c r="D298" s="163">
        <v>50302</v>
      </c>
      <c r="E298" s="132" t="s">
        <v>457</v>
      </c>
      <c r="F298" s="164">
        <v>0</v>
      </c>
      <c r="G298" s="165">
        <v>0</v>
      </c>
      <c r="H298" s="165">
        <v>0</v>
      </c>
      <c r="I298" s="165">
        <v>0</v>
      </c>
      <c r="J298" s="165">
        <v>0</v>
      </c>
      <c r="K298" s="165">
        <v>0</v>
      </c>
      <c r="L298" s="165">
        <v>0</v>
      </c>
      <c r="M298" s="165">
        <v>0</v>
      </c>
      <c r="N298" s="165"/>
      <c r="O298" s="165">
        <v>0</v>
      </c>
      <c r="P298" s="165">
        <v>0</v>
      </c>
    </row>
    <row r="299" spans="1:16" hidden="1" x14ac:dyDescent="0.25">
      <c r="A299" s="137"/>
      <c r="B299" s="125" t="s">
        <v>456</v>
      </c>
      <c r="C299" s="149"/>
      <c r="D299" s="163">
        <v>50399</v>
      </c>
      <c r="E299" s="132" t="s">
        <v>458</v>
      </c>
      <c r="F299" s="164">
        <v>0</v>
      </c>
      <c r="G299" s="165">
        <v>0</v>
      </c>
      <c r="H299" s="165">
        <v>0</v>
      </c>
      <c r="I299" s="165">
        <v>0</v>
      </c>
      <c r="J299" s="165">
        <v>0</v>
      </c>
      <c r="K299" s="165">
        <v>0</v>
      </c>
      <c r="L299" s="165">
        <v>0</v>
      </c>
      <c r="M299" s="165">
        <v>0</v>
      </c>
      <c r="N299" s="165"/>
      <c r="O299" s="165">
        <v>0</v>
      </c>
      <c r="P299" s="165">
        <v>0</v>
      </c>
    </row>
    <row r="300" spans="1:16" x14ac:dyDescent="0.25">
      <c r="A300" s="130"/>
      <c r="B300" s="178"/>
      <c r="C300" s="179"/>
      <c r="D300" s="163"/>
      <c r="E300" s="132"/>
      <c r="F300" s="164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</row>
    <row r="301" spans="1:16" ht="23.25" x14ac:dyDescent="0.25">
      <c r="A301" s="130" t="s">
        <v>460</v>
      </c>
      <c r="B301" s="125"/>
      <c r="C301" s="149"/>
      <c r="D301" s="162">
        <v>599</v>
      </c>
      <c r="E301" s="139" t="s">
        <v>459</v>
      </c>
      <c r="F301" s="159">
        <f t="shared" ref="F301:P301" si="187">(F302+F305+F306)</f>
        <v>287900000</v>
      </c>
      <c r="G301" s="172">
        <f t="shared" si="187"/>
        <v>0</v>
      </c>
      <c r="H301" s="172">
        <f t="shared" si="187"/>
        <v>287900000</v>
      </c>
      <c r="I301" s="172">
        <f t="shared" si="187"/>
        <v>0</v>
      </c>
      <c r="J301" s="172">
        <f t="shared" si="187"/>
        <v>0</v>
      </c>
      <c r="K301" s="172">
        <f t="shared" si="187"/>
        <v>0</v>
      </c>
      <c r="L301" s="172">
        <f t="shared" ref="L301" si="188">(L302+L305+L306)</f>
        <v>0</v>
      </c>
      <c r="M301" s="172">
        <f t="shared" si="187"/>
        <v>0</v>
      </c>
      <c r="N301" s="172">
        <f t="shared" si="187"/>
        <v>0</v>
      </c>
      <c r="O301" s="172">
        <f t="shared" si="187"/>
        <v>0</v>
      </c>
      <c r="P301" s="172">
        <f t="shared" si="187"/>
        <v>287900000</v>
      </c>
    </row>
    <row r="302" spans="1:16" x14ac:dyDescent="0.25">
      <c r="A302" s="137"/>
      <c r="B302" s="125"/>
      <c r="C302" s="157">
        <f>+F302</f>
        <v>287900000</v>
      </c>
      <c r="D302" s="163">
        <v>59903</v>
      </c>
      <c r="E302" s="132" t="s">
        <v>461</v>
      </c>
      <c r="F302" s="164">
        <v>287900000</v>
      </c>
      <c r="G302" s="164"/>
      <c r="H302" s="165">
        <f>+F302+G302</f>
        <v>287900000</v>
      </c>
      <c r="I302" s="165"/>
      <c r="J302" s="164"/>
      <c r="K302" s="164"/>
      <c r="L302" s="165">
        <f t="shared" ref="L302" si="189">+I302+J302+K302</f>
        <v>0</v>
      </c>
      <c r="M302" s="164"/>
      <c r="N302" s="164"/>
      <c r="O302" s="165">
        <f>+L302+M302</f>
        <v>0</v>
      </c>
      <c r="P302" s="165">
        <f t="shared" ref="P302" si="190">+H302-O302-N302</f>
        <v>287900000</v>
      </c>
    </row>
    <row r="303" spans="1:16" ht="23.25" hidden="1" x14ac:dyDescent="0.25">
      <c r="A303" s="130" t="s">
        <v>462</v>
      </c>
      <c r="B303" s="178"/>
      <c r="C303" s="179"/>
      <c r="D303" s="163"/>
      <c r="E303" s="132"/>
      <c r="F303" s="164">
        <f>+F305+F306</f>
        <v>0</v>
      </c>
      <c r="G303" s="164">
        <f t="shared" ref="G303:P303" si="191">+G305+G306</f>
        <v>0</v>
      </c>
      <c r="H303" s="164">
        <f t="shared" si="191"/>
        <v>0</v>
      </c>
      <c r="I303" s="164">
        <f t="shared" si="191"/>
        <v>0</v>
      </c>
      <c r="J303" s="164">
        <f t="shared" si="191"/>
        <v>0</v>
      </c>
      <c r="K303" s="164">
        <f t="shared" si="191"/>
        <v>0</v>
      </c>
      <c r="L303" s="164">
        <f t="shared" ref="L303" si="192">+L305+L306</f>
        <v>0</v>
      </c>
      <c r="M303" s="164">
        <f t="shared" si="191"/>
        <v>0</v>
      </c>
      <c r="N303" s="164"/>
      <c r="O303" s="165">
        <f t="shared" si="191"/>
        <v>0</v>
      </c>
      <c r="P303" s="164">
        <f t="shared" si="191"/>
        <v>0</v>
      </c>
    </row>
    <row r="304" spans="1:16" hidden="1" x14ac:dyDescent="0.25">
      <c r="A304" s="130"/>
      <c r="B304" s="125"/>
      <c r="C304" s="179">
        <f>+F305+F306</f>
        <v>0</v>
      </c>
      <c r="D304" s="163"/>
      <c r="E304" s="132"/>
      <c r="F304" s="164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</row>
    <row r="305" spans="1:16" hidden="1" x14ac:dyDescent="0.25">
      <c r="A305" s="130"/>
      <c r="B305" s="125" t="s">
        <v>463</v>
      </c>
      <c r="C305" s="149"/>
      <c r="D305" s="163">
        <v>59902</v>
      </c>
      <c r="E305" s="132" t="s">
        <v>464</v>
      </c>
      <c r="F305" s="164">
        <v>0</v>
      </c>
      <c r="G305" s="165">
        <v>0</v>
      </c>
      <c r="H305" s="165">
        <v>0</v>
      </c>
      <c r="I305" s="165">
        <v>0</v>
      </c>
      <c r="J305" s="165">
        <v>0</v>
      </c>
      <c r="K305" s="165">
        <v>0</v>
      </c>
      <c r="L305" s="165">
        <v>0</v>
      </c>
      <c r="M305" s="165">
        <v>0</v>
      </c>
      <c r="N305" s="165"/>
      <c r="O305" s="165">
        <v>0</v>
      </c>
      <c r="P305" s="165">
        <v>0</v>
      </c>
    </row>
    <row r="306" spans="1:16" hidden="1" x14ac:dyDescent="0.25">
      <c r="A306" s="137"/>
      <c r="B306" s="125" t="s">
        <v>463</v>
      </c>
      <c r="C306" s="149"/>
      <c r="D306" s="163">
        <v>59999</v>
      </c>
      <c r="E306" s="132" t="s">
        <v>465</v>
      </c>
      <c r="F306" s="164">
        <v>0</v>
      </c>
      <c r="G306" s="165">
        <v>0</v>
      </c>
      <c r="H306" s="165">
        <v>0</v>
      </c>
      <c r="I306" s="165">
        <v>0</v>
      </c>
      <c r="J306" s="165">
        <v>0</v>
      </c>
      <c r="K306" s="165">
        <v>0</v>
      </c>
      <c r="L306" s="165">
        <v>0</v>
      </c>
      <c r="M306" s="165">
        <v>0</v>
      </c>
      <c r="N306" s="165"/>
      <c r="O306" s="165">
        <v>0</v>
      </c>
      <c r="P306" s="165">
        <v>0</v>
      </c>
    </row>
    <row r="307" spans="1:16" x14ac:dyDescent="0.25">
      <c r="A307" s="137"/>
      <c r="B307" s="125"/>
      <c r="C307" s="149"/>
      <c r="D307" s="163"/>
      <c r="E307" s="132"/>
      <c r="F307" s="164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</row>
    <row r="308" spans="1:16" x14ac:dyDescent="0.25">
      <c r="A308" s="145" t="s">
        <v>466</v>
      </c>
      <c r="B308" s="178"/>
      <c r="C308" s="179"/>
      <c r="D308" s="163"/>
      <c r="E308" s="131"/>
      <c r="F308" s="159">
        <f t="shared" ref="F308:O308" si="193">(F309+F318+F321+F327+F330)</f>
        <v>0</v>
      </c>
      <c r="G308" s="172">
        <f t="shared" si="193"/>
        <v>0</v>
      </c>
      <c r="H308" s="172">
        <f t="shared" si="193"/>
        <v>0</v>
      </c>
      <c r="I308" s="172">
        <f t="shared" si="193"/>
        <v>0</v>
      </c>
      <c r="J308" s="172">
        <f t="shared" si="193"/>
        <v>0</v>
      </c>
      <c r="K308" s="172">
        <f t="shared" si="193"/>
        <v>0</v>
      </c>
      <c r="L308" s="172">
        <f t="shared" ref="L308" si="194">(L309+L318+L321+L327+L330)</f>
        <v>0</v>
      </c>
      <c r="M308" s="172">
        <f t="shared" si="193"/>
        <v>0</v>
      </c>
      <c r="N308" s="172"/>
      <c r="O308" s="172">
        <f t="shared" si="193"/>
        <v>0</v>
      </c>
      <c r="P308" s="165">
        <f>+H308-O308</f>
        <v>0</v>
      </c>
    </row>
    <row r="309" spans="1:16" x14ac:dyDescent="0.25">
      <c r="A309" s="145" t="s">
        <v>467</v>
      </c>
      <c r="B309" s="125"/>
      <c r="C309" s="157">
        <f>+F309</f>
        <v>0</v>
      </c>
      <c r="D309" s="162" t="s">
        <v>468</v>
      </c>
      <c r="E309" s="131"/>
      <c r="F309" s="159">
        <f t="shared" ref="F309:O309" si="195">(F310+F311+F312+F313+F314+F315+F316)</f>
        <v>0</v>
      </c>
      <c r="G309" s="172">
        <f t="shared" si="195"/>
        <v>0</v>
      </c>
      <c r="H309" s="172">
        <f t="shared" si="195"/>
        <v>0</v>
      </c>
      <c r="I309" s="172">
        <f t="shared" si="195"/>
        <v>0</v>
      </c>
      <c r="J309" s="172">
        <f t="shared" si="195"/>
        <v>0</v>
      </c>
      <c r="K309" s="172">
        <f t="shared" si="195"/>
        <v>0</v>
      </c>
      <c r="L309" s="172">
        <f t="shared" ref="L309" si="196">(L310+L311+L312+L313+L314+L315+L316)</f>
        <v>0</v>
      </c>
      <c r="M309" s="172">
        <f t="shared" si="195"/>
        <v>0</v>
      </c>
      <c r="N309" s="172"/>
      <c r="O309" s="172">
        <f t="shared" si="195"/>
        <v>0</v>
      </c>
      <c r="P309" s="165">
        <f>+H309-O309</f>
        <v>0</v>
      </c>
    </row>
    <row r="310" spans="1:16" ht="23.25" x14ac:dyDescent="0.25">
      <c r="A310" s="130"/>
      <c r="B310" s="183" t="s">
        <v>469</v>
      </c>
      <c r="C310" s="149"/>
      <c r="D310" s="163" t="s">
        <v>470</v>
      </c>
      <c r="E310" s="132" t="s">
        <v>471</v>
      </c>
      <c r="F310" s="164">
        <v>0</v>
      </c>
      <c r="G310" s="164">
        <v>0</v>
      </c>
      <c r="H310" s="165">
        <f>+F310+G310</f>
        <v>0</v>
      </c>
      <c r="I310" s="165"/>
      <c r="J310" s="165"/>
      <c r="K310" s="165"/>
      <c r="L310" s="165">
        <f t="shared" ref="L310:L312" si="197">+I310+J310+K310</f>
        <v>0</v>
      </c>
      <c r="M310" s="164">
        <v>0</v>
      </c>
      <c r="N310" s="164"/>
      <c r="O310" s="165">
        <f>+L310+M310</f>
        <v>0</v>
      </c>
      <c r="P310" s="165">
        <f t="shared" ref="P310:P312" si="198">+H310-O310</f>
        <v>0</v>
      </c>
    </row>
    <row r="311" spans="1:16" ht="23.25" hidden="1" x14ac:dyDescent="0.25">
      <c r="A311" s="130"/>
      <c r="B311" s="183" t="s">
        <v>469</v>
      </c>
      <c r="C311" s="149"/>
      <c r="D311" s="163" t="s">
        <v>472</v>
      </c>
      <c r="E311" s="132" t="s">
        <v>473</v>
      </c>
      <c r="F311" s="164">
        <v>0</v>
      </c>
      <c r="G311" s="164">
        <v>0</v>
      </c>
      <c r="H311" s="165">
        <v>0</v>
      </c>
      <c r="I311" s="165">
        <v>0</v>
      </c>
      <c r="J311" s="165">
        <v>0</v>
      </c>
      <c r="K311" s="165">
        <v>0</v>
      </c>
      <c r="L311" s="165">
        <f t="shared" si="197"/>
        <v>0</v>
      </c>
      <c r="M311" s="164">
        <v>0</v>
      </c>
      <c r="N311" s="164"/>
      <c r="O311" s="165">
        <v>0</v>
      </c>
      <c r="P311" s="165">
        <f t="shared" si="198"/>
        <v>0</v>
      </c>
    </row>
    <row r="312" spans="1:16" ht="34.5" x14ac:dyDescent="0.25">
      <c r="A312" s="130"/>
      <c r="B312" s="183" t="s">
        <v>469</v>
      </c>
      <c r="C312" s="149"/>
      <c r="D312" s="163" t="s">
        <v>474</v>
      </c>
      <c r="E312" s="132" t="s">
        <v>475</v>
      </c>
      <c r="F312" s="164">
        <v>0</v>
      </c>
      <c r="G312" s="164">
        <v>0</v>
      </c>
      <c r="H312" s="165">
        <f>+F312+G312</f>
        <v>0</v>
      </c>
      <c r="I312" s="165">
        <v>0</v>
      </c>
      <c r="J312" s="165">
        <v>0</v>
      </c>
      <c r="K312" s="165">
        <v>0</v>
      </c>
      <c r="L312" s="165">
        <f t="shared" si="197"/>
        <v>0</v>
      </c>
      <c r="M312" s="164">
        <v>0</v>
      </c>
      <c r="N312" s="164"/>
      <c r="O312" s="165">
        <f>+L312+M312</f>
        <v>0</v>
      </c>
      <c r="P312" s="165">
        <f t="shared" si="198"/>
        <v>0</v>
      </c>
    </row>
    <row r="313" spans="1:16" ht="23.25" hidden="1" x14ac:dyDescent="0.25">
      <c r="A313" s="130"/>
      <c r="B313" s="183" t="s">
        <v>469</v>
      </c>
      <c r="C313" s="149"/>
      <c r="D313" s="163" t="s">
        <v>476</v>
      </c>
      <c r="E313" s="132" t="s">
        <v>477</v>
      </c>
      <c r="F313" s="164">
        <v>0</v>
      </c>
      <c r="G313" s="165">
        <v>0</v>
      </c>
      <c r="H313" s="165">
        <v>0</v>
      </c>
      <c r="I313" s="165">
        <v>0</v>
      </c>
      <c r="J313" s="165">
        <v>0</v>
      </c>
      <c r="K313" s="165">
        <v>0</v>
      </c>
      <c r="L313" s="165">
        <v>0</v>
      </c>
      <c r="M313" s="165">
        <v>0</v>
      </c>
      <c r="N313" s="165"/>
      <c r="O313" s="165">
        <v>0</v>
      </c>
      <c r="P313" s="165">
        <v>0</v>
      </c>
    </row>
    <row r="314" spans="1:16" ht="23.25" hidden="1" x14ac:dyDescent="0.25">
      <c r="A314" s="130"/>
      <c r="B314" s="183" t="s">
        <v>469</v>
      </c>
      <c r="C314" s="149"/>
      <c r="D314" s="163" t="s">
        <v>478</v>
      </c>
      <c r="E314" s="132" t="s">
        <v>479</v>
      </c>
      <c r="F314" s="164">
        <v>0</v>
      </c>
      <c r="G314" s="165">
        <v>0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5">
        <v>0</v>
      </c>
      <c r="N314" s="165"/>
      <c r="O314" s="165">
        <v>0</v>
      </c>
      <c r="P314" s="165">
        <v>0</v>
      </c>
    </row>
    <row r="315" spans="1:16" ht="23.25" hidden="1" x14ac:dyDescent="0.25">
      <c r="A315" s="130"/>
      <c r="B315" s="183" t="s">
        <v>469</v>
      </c>
      <c r="C315" s="149"/>
      <c r="D315" s="163" t="s">
        <v>480</v>
      </c>
      <c r="E315" s="132" t="s">
        <v>481</v>
      </c>
      <c r="F315" s="164">
        <v>0</v>
      </c>
      <c r="G315" s="165">
        <v>0</v>
      </c>
      <c r="H315" s="165">
        <v>0</v>
      </c>
      <c r="I315" s="165">
        <v>0</v>
      </c>
      <c r="J315" s="165">
        <v>0</v>
      </c>
      <c r="K315" s="165">
        <v>0</v>
      </c>
      <c r="L315" s="165">
        <v>0</v>
      </c>
      <c r="M315" s="165">
        <v>0</v>
      </c>
      <c r="N315" s="165"/>
      <c r="O315" s="165">
        <v>0</v>
      </c>
      <c r="P315" s="165">
        <v>0</v>
      </c>
    </row>
    <row r="316" spans="1:16" ht="23.25" hidden="1" x14ac:dyDescent="0.25">
      <c r="A316" s="137"/>
      <c r="B316" s="183" t="s">
        <v>469</v>
      </c>
      <c r="C316" s="149"/>
      <c r="D316" s="163" t="s">
        <v>482</v>
      </c>
      <c r="E316" s="132" t="s">
        <v>483</v>
      </c>
      <c r="F316" s="164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0</v>
      </c>
      <c r="N316" s="165"/>
      <c r="O316" s="165">
        <v>0</v>
      </c>
      <c r="P316" s="165">
        <v>0</v>
      </c>
    </row>
    <row r="317" spans="1:16" ht="68.25" hidden="1" x14ac:dyDescent="0.25">
      <c r="A317" s="130" t="s">
        <v>484</v>
      </c>
      <c r="B317" s="178"/>
      <c r="C317" s="179"/>
      <c r="D317" s="163"/>
      <c r="E317" s="132"/>
      <c r="F317" s="164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</row>
    <row r="318" spans="1:16" ht="23.25" hidden="1" x14ac:dyDescent="0.25">
      <c r="A318" s="130"/>
      <c r="B318" s="125"/>
      <c r="C318" s="157">
        <f>+F318+F321+F327</f>
        <v>0</v>
      </c>
      <c r="D318" s="162" t="s">
        <v>485</v>
      </c>
      <c r="E318" s="131" t="s">
        <v>486</v>
      </c>
      <c r="F318" s="159">
        <f t="shared" ref="F318:P318" si="199">F319</f>
        <v>0</v>
      </c>
      <c r="G318" s="165">
        <f t="shared" si="199"/>
        <v>0</v>
      </c>
      <c r="H318" s="165">
        <f t="shared" si="199"/>
        <v>0</v>
      </c>
      <c r="I318" s="165">
        <f t="shared" si="199"/>
        <v>0</v>
      </c>
      <c r="J318" s="165">
        <f t="shared" si="199"/>
        <v>0</v>
      </c>
      <c r="K318" s="165">
        <f t="shared" si="199"/>
        <v>0</v>
      </c>
      <c r="L318" s="165">
        <f t="shared" si="199"/>
        <v>0</v>
      </c>
      <c r="M318" s="165">
        <f t="shared" si="199"/>
        <v>0</v>
      </c>
      <c r="N318" s="165"/>
      <c r="O318" s="165">
        <f t="shared" si="199"/>
        <v>0</v>
      </c>
      <c r="P318" s="165">
        <f t="shared" si="199"/>
        <v>0</v>
      </c>
    </row>
    <row r="319" spans="1:16" ht="23.25" hidden="1" x14ac:dyDescent="0.25">
      <c r="A319" s="130"/>
      <c r="B319" s="183" t="s">
        <v>487</v>
      </c>
      <c r="C319" s="149"/>
      <c r="D319" s="163" t="s">
        <v>488</v>
      </c>
      <c r="E319" s="132" t="s">
        <v>489</v>
      </c>
      <c r="F319" s="164">
        <v>0</v>
      </c>
      <c r="G319" s="165">
        <v>0</v>
      </c>
      <c r="H319" s="165">
        <v>0</v>
      </c>
      <c r="I319" s="165">
        <v>0</v>
      </c>
      <c r="J319" s="165">
        <v>0</v>
      </c>
      <c r="K319" s="165">
        <v>0</v>
      </c>
      <c r="L319" s="165">
        <v>0</v>
      </c>
      <c r="M319" s="165">
        <v>0</v>
      </c>
      <c r="N319" s="165"/>
      <c r="O319" s="165">
        <v>0</v>
      </c>
      <c r="P319" s="165">
        <v>0</v>
      </c>
    </row>
    <row r="320" spans="1:16" hidden="1" x14ac:dyDescent="0.25">
      <c r="A320" s="130"/>
      <c r="B320" s="125"/>
      <c r="C320" s="149"/>
      <c r="D320" s="163"/>
      <c r="E320" s="132"/>
      <c r="F320" s="164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</row>
    <row r="321" spans="1:16" ht="34.5" hidden="1" x14ac:dyDescent="0.25">
      <c r="A321" s="130"/>
      <c r="B321" s="183" t="s">
        <v>487</v>
      </c>
      <c r="C321" s="157"/>
      <c r="D321" s="162" t="s">
        <v>490</v>
      </c>
      <c r="E321" s="131" t="s">
        <v>491</v>
      </c>
      <c r="F321" s="159">
        <f t="shared" ref="F321:P321" si="200">(F322+F323+F324+F325)</f>
        <v>0</v>
      </c>
      <c r="G321" s="165">
        <f t="shared" si="200"/>
        <v>0</v>
      </c>
      <c r="H321" s="165">
        <f t="shared" si="200"/>
        <v>0</v>
      </c>
      <c r="I321" s="165">
        <f t="shared" si="200"/>
        <v>0</v>
      </c>
      <c r="J321" s="165">
        <f t="shared" si="200"/>
        <v>0</v>
      </c>
      <c r="K321" s="165">
        <f t="shared" si="200"/>
        <v>0</v>
      </c>
      <c r="L321" s="165">
        <f t="shared" ref="L321" si="201">(L322+L323+L324+L325)</f>
        <v>0</v>
      </c>
      <c r="M321" s="165">
        <f t="shared" si="200"/>
        <v>0</v>
      </c>
      <c r="N321" s="165"/>
      <c r="O321" s="165">
        <f t="shared" si="200"/>
        <v>0</v>
      </c>
      <c r="P321" s="165">
        <f t="shared" si="200"/>
        <v>0</v>
      </c>
    </row>
    <row r="322" spans="1:16" ht="23.25" hidden="1" x14ac:dyDescent="0.25">
      <c r="A322" s="130"/>
      <c r="B322" s="183" t="s">
        <v>487</v>
      </c>
      <c r="C322" s="149"/>
      <c r="D322" s="163" t="s">
        <v>492</v>
      </c>
      <c r="E322" s="132" t="s">
        <v>493</v>
      </c>
      <c r="F322" s="164">
        <v>0</v>
      </c>
      <c r="G322" s="165">
        <v>0</v>
      </c>
      <c r="H322" s="165">
        <v>0</v>
      </c>
      <c r="I322" s="165">
        <v>0</v>
      </c>
      <c r="J322" s="165">
        <v>0</v>
      </c>
      <c r="K322" s="165">
        <v>0</v>
      </c>
      <c r="L322" s="165">
        <v>0</v>
      </c>
      <c r="M322" s="165">
        <v>0</v>
      </c>
      <c r="N322" s="165"/>
      <c r="O322" s="165">
        <v>0</v>
      </c>
      <c r="P322" s="165">
        <v>0</v>
      </c>
    </row>
    <row r="323" spans="1:16" ht="23.25" hidden="1" x14ac:dyDescent="0.25">
      <c r="A323" s="130"/>
      <c r="B323" s="183" t="s">
        <v>487</v>
      </c>
      <c r="C323" s="149"/>
      <c r="D323" s="163" t="s">
        <v>494</v>
      </c>
      <c r="E323" s="132" t="s">
        <v>495</v>
      </c>
      <c r="F323" s="164">
        <v>0</v>
      </c>
      <c r="G323" s="165">
        <v>0</v>
      </c>
      <c r="H323" s="165">
        <v>0</v>
      </c>
      <c r="I323" s="165">
        <v>0</v>
      </c>
      <c r="J323" s="165">
        <v>0</v>
      </c>
      <c r="K323" s="165">
        <v>0</v>
      </c>
      <c r="L323" s="165">
        <v>0</v>
      </c>
      <c r="M323" s="165">
        <v>0</v>
      </c>
      <c r="N323" s="165"/>
      <c r="O323" s="165">
        <v>0</v>
      </c>
      <c r="P323" s="165">
        <v>0</v>
      </c>
    </row>
    <row r="324" spans="1:16" ht="23.25" hidden="1" x14ac:dyDescent="0.25">
      <c r="A324" s="130"/>
      <c r="B324" s="183" t="s">
        <v>487</v>
      </c>
      <c r="C324" s="149"/>
      <c r="D324" s="163" t="s">
        <v>496</v>
      </c>
      <c r="E324" s="132" t="s">
        <v>497</v>
      </c>
      <c r="F324" s="164">
        <v>0</v>
      </c>
      <c r="G324" s="165">
        <v>0</v>
      </c>
      <c r="H324" s="165">
        <v>0</v>
      </c>
      <c r="I324" s="165">
        <v>0</v>
      </c>
      <c r="J324" s="165">
        <v>0</v>
      </c>
      <c r="K324" s="165">
        <v>0</v>
      </c>
      <c r="L324" s="165">
        <v>0</v>
      </c>
      <c r="M324" s="165">
        <v>0</v>
      </c>
      <c r="N324" s="165"/>
      <c r="O324" s="165">
        <v>0</v>
      </c>
      <c r="P324" s="165">
        <v>0</v>
      </c>
    </row>
    <row r="325" spans="1:16" ht="34.5" hidden="1" x14ac:dyDescent="0.25">
      <c r="A325" s="130"/>
      <c r="B325" s="183" t="s">
        <v>487</v>
      </c>
      <c r="C325" s="149"/>
      <c r="D325" s="163" t="s">
        <v>498</v>
      </c>
      <c r="E325" s="132" t="s">
        <v>499</v>
      </c>
      <c r="F325" s="164">
        <v>0</v>
      </c>
      <c r="G325" s="165">
        <v>0</v>
      </c>
      <c r="H325" s="165">
        <v>0</v>
      </c>
      <c r="I325" s="165">
        <v>0</v>
      </c>
      <c r="J325" s="165">
        <v>0</v>
      </c>
      <c r="K325" s="165">
        <v>0</v>
      </c>
      <c r="L325" s="165">
        <v>0</v>
      </c>
      <c r="M325" s="165">
        <v>0</v>
      </c>
      <c r="N325" s="165"/>
      <c r="O325" s="165">
        <v>0</v>
      </c>
      <c r="P325" s="165">
        <v>0</v>
      </c>
    </row>
    <row r="326" spans="1:16" hidden="1" x14ac:dyDescent="0.25">
      <c r="A326" s="130"/>
      <c r="B326" s="125"/>
      <c r="C326" s="149"/>
      <c r="D326" s="163"/>
      <c r="E326" s="132"/>
      <c r="F326" s="164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</row>
    <row r="327" spans="1:16" ht="23.25" hidden="1" x14ac:dyDescent="0.25">
      <c r="A327" s="130"/>
      <c r="B327" s="183" t="s">
        <v>487</v>
      </c>
      <c r="C327" s="157"/>
      <c r="D327" s="162" t="s">
        <v>500</v>
      </c>
      <c r="E327" s="131" t="s">
        <v>501</v>
      </c>
      <c r="F327" s="159">
        <f t="shared" ref="F327:P327" si="202">F328</f>
        <v>0</v>
      </c>
      <c r="G327" s="165">
        <f t="shared" si="202"/>
        <v>0</v>
      </c>
      <c r="H327" s="165">
        <f t="shared" si="202"/>
        <v>0</v>
      </c>
      <c r="I327" s="165">
        <f t="shared" si="202"/>
        <v>0</v>
      </c>
      <c r="J327" s="165">
        <f t="shared" si="202"/>
        <v>0</v>
      </c>
      <c r="K327" s="165">
        <f t="shared" si="202"/>
        <v>0</v>
      </c>
      <c r="L327" s="165">
        <f t="shared" si="202"/>
        <v>0</v>
      </c>
      <c r="M327" s="165">
        <f t="shared" si="202"/>
        <v>0</v>
      </c>
      <c r="N327" s="165"/>
      <c r="O327" s="165">
        <f t="shared" si="202"/>
        <v>0</v>
      </c>
      <c r="P327" s="165">
        <f t="shared" si="202"/>
        <v>0</v>
      </c>
    </row>
    <row r="328" spans="1:16" ht="23.25" hidden="1" x14ac:dyDescent="0.25">
      <c r="A328" s="137"/>
      <c r="B328" s="183" t="s">
        <v>487</v>
      </c>
      <c r="C328" s="149"/>
      <c r="D328" s="184" t="s">
        <v>498</v>
      </c>
      <c r="E328" s="132" t="s">
        <v>502</v>
      </c>
      <c r="F328" s="164">
        <v>0</v>
      </c>
      <c r="G328" s="165">
        <v>0</v>
      </c>
      <c r="H328" s="165">
        <v>0</v>
      </c>
      <c r="I328" s="165">
        <v>0</v>
      </c>
      <c r="J328" s="165">
        <v>0</v>
      </c>
      <c r="K328" s="165">
        <v>0</v>
      </c>
      <c r="L328" s="165">
        <v>0</v>
      </c>
      <c r="M328" s="165">
        <v>0</v>
      </c>
      <c r="N328" s="165"/>
      <c r="O328" s="165">
        <v>0</v>
      </c>
      <c r="P328" s="165">
        <v>0</v>
      </c>
    </row>
    <row r="329" spans="1:16" ht="68.25" hidden="1" x14ac:dyDescent="0.25">
      <c r="A329" s="130" t="s">
        <v>503</v>
      </c>
      <c r="B329" s="178"/>
      <c r="C329" s="179"/>
      <c r="D329" s="184"/>
      <c r="E329" s="132"/>
      <c r="F329" s="164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</row>
    <row r="330" spans="1:16" ht="23.25" hidden="1" x14ac:dyDescent="0.25">
      <c r="A330" s="130"/>
      <c r="B330" s="125"/>
      <c r="C330" s="157">
        <f>+F330</f>
        <v>0</v>
      </c>
      <c r="D330" s="162" t="s">
        <v>504</v>
      </c>
      <c r="E330" s="131" t="s">
        <v>505</v>
      </c>
      <c r="F330" s="159">
        <f t="shared" ref="F330:P330" si="203">(F331+F332)</f>
        <v>0</v>
      </c>
      <c r="G330" s="165">
        <f t="shared" si="203"/>
        <v>0</v>
      </c>
      <c r="H330" s="165">
        <f t="shared" si="203"/>
        <v>0</v>
      </c>
      <c r="I330" s="165">
        <f t="shared" si="203"/>
        <v>0</v>
      </c>
      <c r="J330" s="165">
        <f t="shared" si="203"/>
        <v>0</v>
      </c>
      <c r="K330" s="165">
        <f t="shared" si="203"/>
        <v>0</v>
      </c>
      <c r="L330" s="165">
        <f t="shared" ref="L330" si="204">(L331+L332)</f>
        <v>0</v>
      </c>
      <c r="M330" s="165">
        <f t="shared" si="203"/>
        <v>0</v>
      </c>
      <c r="N330" s="165"/>
      <c r="O330" s="165">
        <f t="shared" si="203"/>
        <v>0</v>
      </c>
      <c r="P330" s="165">
        <f t="shared" si="203"/>
        <v>0</v>
      </c>
    </row>
    <row r="331" spans="1:16" ht="23.25" hidden="1" x14ac:dyDescent="0.25">
      <c r="A331" s="130"/>
      <c r="B331" s="183" t="s">
        <v>506</v>
      </c>
      <c r="C331" s="149"/>
      <c r="D331" s="184" t="s">
        <v>507</v>
      </c>
      <c r="E331" s="132" t="s">
        <v>508</v>
      </c>
      <c r="F331" s="164">
        <v>0</v>
      </c>
      <c r="G331" s="165">
        <v>0</v>
      </c>
      <c r="H331" s="165">
        <v>0</v>
      </c>
      <c r="I331" s="165">
        <v>0</v>
      </c>
      <c r="J331" s="165">
        <v>0</v>
      </c>
      <c r="K331" s="165">
        <v>0</v>
      </c>
      <c r="L331" s="165">
        <v>0</v>
      </c>
      <c r="M331" s="165">
        <v>0</v>
      </c>
      <c r="N331" s="165"/>
      <c r="O331" s="165">
        <v>0</v>
      </c>
      <c r="P331" s="165">
        <v>0</v>
      </c>
    </row>
    <row r="332" spans="1:16" ht="23.25" hidden="1" x14ac:dyDescent="0.25">
      <c r="A332" s="137"/>
      <c r="B332" s="183" t="s">
        <v>506</v>
      </c>
      <c r="C332" s="149"/>
      <c r="D332" s="184" t="s">
        <v>509</v>
      </c>
      <c r="E332" s="132" t="s">
        <v>510</v>
      </c>
      <c r="F332" s="164">
        <v>0</v>
      </c>
      <c r="G332" s="165">
        <v>0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5">
        <v>0</v>
      </c>
      <c r="N332" s="165"/>
      <c r="O332" s="165">
        <v>0</v>
      </c>
      <c r="P332" s="165">
        <v>0</v>
      </c>
    </row>
    <row r="333" spans="1:16" ht="45.75" hidden="1" x14ac:dyDescent="0.25">
      <c r="A333" s="142" t="s">
        <v>511</v>
      </c>
      <c r="B333" s="178"/>
      <c r="C333" s="179"/>
      <c r="D333" s="184"/>
      <c r="E333" s="132"/>
      <c r="F333" s="164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</row>
    <row r="334" spans="1:16" ht="45.75" hidden="1" x14ac:dyDescent="0.25">
      <c r="A334" s="130" t="s">
        <v>513</v>
      </c>
      <c r="B334" s="185"/>
      <c r="C334" s="186">
        <f>+C335+C345+C355+C376</f>
        <v>0</v>
      </c>
      <c r="D334" s="158">
        <v>4</v>
      </c>
      <c r="E334" s="128" t="s">
        <v>512</v>
      </c>
      <c r="F334" s="159">
        <f t="shared" ref="F334:P334" si="205">(F335+F345+F376)</f>
        <v>0</v>
      </c>
      <c r="G334" s="165">
        <f t="shared" si="205"/>
        <v>0</v>
      </c>
      <c r="H334" s="165">
        <f t="shared" si="205"/>
        <v>0</v>
      </c>
      <c r="I334" s="165">
        <f t="shared" si="205"/>
        <v>0</v>
      </c>
      <c r="J334" s="165">
        <f t="shared" si="205"/>
        <v>0</v>
      </c>
      <c r="K334" s="165">
        <f t="shared" si="205"/>
        <v>0</v>
      </c>
      <c r="L334" s="165">
        <f t="shared" ref="L334" si="206">(L335+L345+L376)</f>
        <v>0</v>
      </c>
      <c r="M334" s="165">
        <f t="shared" si="205"/>
        <v>0</v>
      </c>
      <c r="N334" s="165"/>
      <c r="O334" s="165">
        <f t="shared" si="205"/>
        <v>0</v>
      </c>
      <c r="P334" s="165">
        <f t="shared" si="205"/>
        <v>0</v>
      </c>
    </row>
    <row r="335" spans="1:16" hidden="1" x14ac:dyDescent="0.25">
      <c r="A335" s="130"/>
      <c r="B335" s="125"/>
      <c r="C335" s="157">
        <f>+F335</f>
        <v>0</v>
      </c>
      <c r="D335" s="158" t="s">
        <v>514</v>
      </c>
      <c r="E335" s="128" t="s">
        <v>515</v>
      </c>
      <c r="F335" s="159">
        <f t="shared" ref="F335:P335" si="207">(F336+F337+F338+F339+F340+F341+F342+F343)</f>
        <v>0</v>
      </c>
      <c r="G335" s="165">
        <f t="shared" si="207"/>
        <v>0</v>
      </c>
      <c r="H335" s="165">
        <f t="shared" si="207"/>
        <v>0</v>
      </c>
      <c r="I335" s="165">
        <f t="shared" si="207"/>
        <v>0</v>
      </c>
      <c r="J335" s="165">
        <f t="shared" si="207"/>
        <v>0</v>
      </c>
      <c r="K335" s="165">
        <f t="shared" si="207"/>
        <v>0</v>
      </c>
      <c r="L335" s="165">
        <f t="shared" ref="L335" si="208">(L336+L337+L338+L339+L340+L341+L342+L343)</f>
        <v>0</v>
      </c>
      <c r="M335" s="165">
        <f t="shared" si="207"/>
        <v>0</v>
      </c>
      <c r="N335" s="165"/>
      <c r="O335" s="165">
        <f t="shared" si="207"/>
        <v>0</v>
      </c>
      <c r="P335" s="165">
        <f t="shared" si="207"/>
        <v>0</v>
      </c>
    </row>
    <row r="336" spans="1:16" hidden="1" x14ac:dyDescent="0.25">
      <c r="A336" s="130"/>
      <c r="B336" s="183">
        <v>3.1</v>
      </c>
      <c r="C336" s="149"/>
      <c r="D336" s="163">
        <v>40101</v>
      </c>
      <c r="E336" s="132" t="s">
        <v>516</v>
      </c>
      <c r="F336" s="164">
        <v>0</v>
      </c>
      <c r="G336" s="165">
        <v>0</v>
      </c>
      <c r="H336" s="165">
        <v>0</v>
      </c>
      <c r="I336" s="165">
        <v>0</v>
      </c>
      <c r="J336" s="165">
        <v>0</v>
      </c>
      <c r="K336" s="165">
        <v>0</v>
      </c>
      <c r="L336" s="165">
        <v>0</v>
      </c>
      <c r="M336" s="165">
        <v>0</v>
      </c>
      <c r="N336" s="165"/>
      <c r="O336" s="165">
        <v>0</v>
      </c>
      <c r="P336" s="165">
        <v>0</v>
      </c>
    </row>
    <row r="337" spans="1:16" ht="23.25" hidden="1" x14ac:dyDescent="0.25">
      <c r="A337" s="130"/>
      <c r="B337" s="183">
        <v>3.1</v>
      </c>
      <c r="C337" s="149"/>
      <c r="D337" s="163">
        <v>40102</v>
      </c>
      <c r="E337" s="132" t="s">
        <v>517</v>
      </c>
      <c r="F337" s="164">
        <v>0</v>
      </c>
      <c r="G337" s="165">
        <v>0</v>
      </c>
      <c r="H337" s="165">
        <v>0</v>
      </c>
      <c r="I337" s="165">
        <v>0</v>
      </c>
      <c r="J337" s="165">
        <v>0</v>
      </c>
      <c r="K337" s="165">
        <v>0</v>
      </c>
      <c r="L337" s="165">
        <v>0</v>
      </c>
      <c r="M337" s="165">
        <v>0</v>
      </c>
      <c r="N337" s="165"/>
      <c r="O337" s="165">
        <v>0</v>
      </c>
      <c r="P337" s="165">
        <v>0</v>
      </c>
    </row>
    <row r="338" spans="1:16" ht="23.25" hidden="1" x14ac:dyDescent="0.25">
      <c r="A338" s="130"/>
      <c r="B338" s="183">
        <v>3.1</v>
      </c>
      <c r="C338" s="149"/>
      <c r="D338" s="163">
        <v>40103</v>
      </c>
      <c r="E338" s="132" t="s">
        <v>518</v>
      </c>
      <c r="F338" s="164">
        <v>0</v>
      </c>
      <c r="G338" s="165">
        <v>0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5">
        <v>0</v>
      </c>
      <c r="N338" s="165"/>
      <c r="O338" s="165">
        <v>0</v>
      </c>
      <c r="P338" s="165">
        <v>0</v>
      </c>
    </row>
    <row r="339" spans="1:16" hidden="1" x14ac:dyDescent="0.25">
      <c r="A339" s="130"/>
      <c r="B339" s="183">
        <v>3.1</v>
      </c>
      <c r="C339" s="149"/>
      <c r="D339" s="163">
        <v>40104</v>
      </c>
      <c r="E339" s="132" t="s">
        <v>519</v>
      </c>
      <c r="F339" s="164">
        <v>0</v>
      </c>
      <c r="G339" s="165">
        <v>0</v>
      </c>
      <c r="H339" s="165">
        <v>0</v>
      </c>
      <c r="I339" s="165">
        <v>0</v>
      </c>
      <c r="J339" s="165">
        <v>0</v>
      </c>
      <c r="K339" s="165">
        <v>0</v>
      </c>
      <c r="L339" s="165">
        <v>0</v>
      </c>
      <c r="M339" s="165">
        <v>0</v>
      </c>
      <c r="N339" s="165"/>
      <c r="O339" s="165">
        <v>0</v>
      </c>
      <c r="P339" s="165">
        <v>0</v>
      </c>
    </row>
    <row r="340" spans="1:16" ht="23.25" hidden="1" x14ac:dyDescent="0.25">
      <c r="A340" s="130"/>
      <c r="B340" s="183">
        <v>3.1</v>
      </c>
      <c r="C340" s="149"/>
      <c r="D340" s="163">
        <v>40105</v>
      </c>
      <c r="E340" s="132" t="s">
        <v>520</v>
      </c>
      <c r="F340" s="164">
        <v>0</v>
      </c>
      <c r="G340" s="165">
        <v>0</v>
      </c>
      <c r="H340" s="165">
        <v>0</v>
      </c>
      <c r="I340" s="165">
        <v>0</v>
      </c>
      <c r="J340" s="165">
        <v>0</v>
      </c>
      <c r="K340" s="165">
        <v>0</v>
      </c>
      <c r="L340" s="165">
        <v>0</v>
      </c>
      <c r="M340" s="165">
        <v>0</v>
      </c>
      <c r="N340" s="165"/>
      <c r="O340" s="165">
        <v>0</v>
      </c>
      <c r="P340" s="165">
        <v>0</v>
      </c>
    </row>
    <row r="341" spans="1:16" ht="23.25" hidden="1" x14ac:dyDescent="0.25">
      <c r="A341" s="130"/>
      <c r="B341" s="183">
        <v>3.1</v>
      </c>
      <c r="C341" s="149"/>
      <c r="D341" s="163">
        <v>40106</v>
      </c>
      <c r="E341" s="132" t="s">
        <v>521</v>
      </c>
      <c r="F341" s="164">
        <v>0</v>
      </c>
      <c r="G341" s="165">
        <v>0</v>
      </c>
      <c r="H341" s="165">
        <v>0</v>
      </c>
      <c r="I341" s="165">
        <v>0</v>
      </c>
      <c r="J341" s="165">
        <v>0</v>
      </c>
      <c r="K341" s="165">
        <v>0</v>
      </c>
      <c r="L341" s="165">
        <v>0</v>
      </c>
      <c r="M341" s="165">
        <v>0</v>
      </c>
      <c r="N341" s="165"/>
      <c r="O341" s="165">
        <v>0</v>
      </c>
      <c r="P341" s="165">
        <v>0</v>
      </c>
    </row>
    <row r="342" spans="1:16" hidden="1" x14ac:dyDescent="0.25">
      <c r="A342" s="130"/>
      <c r="B342" s="183">
        <v>3.1</v>
      </c>
      <c r="C342" s="149"/>
      <c r="D342" s="163">
        <v>40107</v>
      </c>
      <c r="E342" s="132" t="s">
        <v>522</v>
      </c>
      <c r="F342" s="164">
        <v>0</v>
      </c>
      <c r="G342" s="165">
        <v>0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5">
        <v>0</v>
      </c>
      <c r="N342" s="165"/>
      <c r="O342" s="165">
        <v>0</v>
      </c>
      <c r="P342" s="165">
        <v>0</v>
      </c>
    </row>
    <row r="343" spans="1:16" hidden="1" x14ac:dyDescent="0.25">
      <c r="A343" s="137"/>
      <c r="B343" s="183">
        <v>3.1</v>
      </c>
      <c r="C343" s="149"/>
      <c r="D343" s="163">
        <v>40108</v>
      </c>
      <c r="E343" s="132" t="s">
        <v>523</v>
      </c>
      <c r="F343" s="164">
        <v>0</v>
      </c>
      <c r="G343" s="165">
        <v>0</v>
      </c>
      <c r="H343" s="165">
        <v>0</v>
      </c>
      <c r="I343" s="165">
        <v>0</v>
      </c>
      <c r="J343" s="165">
        <v>0</v>
      </c>
      <c r="K343" s="165">
        <v>0</v>
      </c>
      <c r="L343" s="165">
        <v>0</v>
      </c>
      <c r="M343" s="165">
        <v>0</v>
      </c>
      <c r="N343" s="165"/>
      <c r="O343" s="165">
        <v>0</v>
      </c>
      <c r="P343" s="165">
        <v>0</v>
      </c>
    </row>
    <row r="344" spans="1:16" ht="34.5" hidden="1" x14ac:dyDescent="0.25">
      <c r="A344" s="130" t="s">
        <v>524</v>
      </c>
      <c r="B344" s="178"/>
      <c r="C344" s="179"/>
      <c r="D344" s="163"/>
      <c r="E344" s="132"/>
      <c r="F344" s="164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</row>
    <row r="345" spans="1:16" hidden="1" x14ac:dyDescent="0.25">
      <c r="A345" s="130"/>
      <c r="B345" s="125"/>
      <c r="C345" s="157">
        <f>+F345</f>
        <v>0</v>
      </c>
      <c r="D345" s="187" t="s">
        <v>525</v>
      </c>
      <c r="E345" s="131" t="s">
        <v>526</v>
      </c>
      <c r="F345" s="159">
        <f t="shared" ref="F345:P345" si="209">(F346+F347+F348+F349+F350+F351+F352+F353)</f>
        <v>0</v>
      </c>
      <c r="G345" s="165">
        <f t="shared" si="209"/>
        <v>0</v>
      </c>
      <c r="H345" s="165">
        <f t="shared" si="209"/>
        <v>0</v>
      </c>
      <c r="I345" s="165">
        <f t="shared" si="209"/>
        <v>0</v>
      </c>
      <c r="J345" s="165">
        <f t="shared" si="209"/>
        <v>0</v>
      </c>
      <c r="K345" s="165">
        <f t="shared" si="209"/>
        <v>0</v>
      </c>
      <c r="L345" s="165">
        <f t="shared" ref="L345" si="210">(L346+L347+L348+L349+L350+L351+L352+L353)</f>
        <v>0</v>
      </c>
      <c r="M345" s="165">
        <f t="shared" si="209"/>
        <v>0</v>
      </c>
      <c r="N345" s="165"/>
      <c r="O345" s="165">
        <f t="shared" si="209"/>
        <v>0</v>
      </c>
      <c r="P345" s="165">
        <f t="shared" si="209"/>
        <v>0</v>
      </c>
    </row>
    <row r="346" spans="1:16" ht="23.25" hidden="1" x14ac:dyDescent="0.25">
      <c r="A346" s="130"/>
      <c r="B346" s="183">
        <v>3.2</v>
      </c>
      <c r="C346" s="149"/>
      <c r="D346" s="163">
        <v>40201</v>
      </c>
      <c r="E346" s="132" t="s">
        <v>527</v>
      </c>
      <c r="F346" s="164">
        <v>0</v>
      </c>
      <c r="G346" s="165">
        <v>0</v>
      </c>
      <c r="H346" s="165">
        <v>0</v>
      </c>
      <c r="I346" s="165">
        <v>0</v>
      </c>
      <c r="J346" s="165">
        <v>0</v>
      </c>
      <c r="K346" s="165">
        <v>0</v>
      </c>
      <c r="L346" s="165">
        <v>0</v>
      </c>
      <c r="M346" s="165">
        <v>0</v>
      </c>
      <c r="N346" s="165"/>
      <c r="O346" s="165">
        <v>0</v>
      </c>
      <c r="P346" s="165">
        <v>0</v>
      </c>
    </row>
    <row r="347" spans="1:16" ht="23.25" hidden="1" x14ac:dyDescent="0.25">
      <c r="A347" s="130"/>
      <c r="B347" s="183">
        <v>3.2</v>
      </c>
      <c r="C347" s="149"/>
      <c r="D347" s="163">
        <v>40202</v>
      </c>
      <c r="E347" s="132" t="s">
        <v>528</v>
      </c>
      <c r="F347" s="164">
        <v>0</v>
      </c>
      <c r="G347" s="165">
        <v>0</v>
      </c>
      <c r="H347" s="165">
        <v>0</v>
      </c>
      <c r="I347" s="165">
        <v>0</v>
      </c>
      <c r="J347" s="165">
        <v>0</v>
      </c>
      <c r="K347" s="165">
        <v>0</v>
      </c>
      <c r="L347" s="165">
        <v>0</v>
      </c>
      <c r="M347" s="165">
        <v>0</v>
      </c>
      <c r="N347" s="165"/>
      <c r="O347" s="165">
        <v>0</v>
      </c>
      <c r="P347" s="165">
        <v>0</v>
      </c>
    </row>
    <row r="348" spans="1:16" ht="23.25" hidden="1" x14ac:dyDescent="0.25">
      <c r="A348" s="130"/>
      <c r="B348" s="183">
        <v>3.2</v>
      </c>
      <c r="C348" s="149"/>
      <c r="D348" s="163">
        <v>40203</v>
      </c>
      <c r="E348" s="132" t="s">
        <v>529</v>
      </c>
      <c r="F348" s="164">
        <v>0</v>
      </c>
      <c r="G348" s="165">
        <v>0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5">
        <v>0</v>
      </c>
      <c r="N348" s="165"/>
      <c r="O348" s="165">
        <v>0</v>
      </c>
      <c r="P348" s="165">
        <v>0</v>
      </c>
    </row>
    <row r="349" spans="1:16" ht="23.25" hidden="1" x14ac:dyDescent="0.25">
      <c r="A349" s="130"/>
      <c r="B349" s="183">
        <v>3.2</v>
      </c>
      <c r="C349" s="149"/>
      <c r="D349" s="163">
        <v>40204</v>
      </c>
      <c r="E349" s="132" t="s">
        <v>530</v>
      </c>
      <c r="F349" s="164">
        <v>0</v>
      </c>
      <c r="G349" s="165">
        <v>0</v>
      </c>
      <c r="H349" s="165">
        <v>0</v>
      </c>
      <c r="I349" s="165">
        <v>0</v>
      </c>
      <c r="J349" s="165">
        <v>0</v>
      </c>
      <c r="K349" s="165">
        <v>0</v>
      </c>
      <c r="L349" s="165">
        <v>0</v>
      </c>
      <c r="M349" s="165">
        <v>0</v>
      </c>
      <c r="N349" s="165"/>
      <c r="O349" s="165">
        <v>0</v>
      </c>
      <c r="P349" s="165">
        <v>0</v>
      </c>
    </row>
    <row r="350" spans="1:16" ht="23.25" hidden="1" x14ac:dyDescent="0.25">
      <c r="A350" s="130"/>
      <c r="B350" s="183">
        <v>3.2</v>
      </c>
      <c r="C350" s="149"/>
      <c r="D350" s="163">
        <v>40205</v>
      </c>
      <c r="E350" s="132" t="s">
        <v>531</v>
      </c>
      <c r="F350" s="164">
        <v>0</v>
      </c>
      <c r="G350" s="165">
        <v>0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5">
        <v>0</v>
      </c>
      <c r="N350" s="165"/>
      <c r="O350" s="165">
        <v>0</v>
      </c>
      <c r="P350" s="165">
        <v>0</v>
      </c>
    </row>
    <row r="351" spans="1:16" ht="23.25" hidden="1" x14ac:dyDescent="0.25">
      <c r="A351" s="130"/>
      <c r="B351" s="183">
        <v>3.2</v>
      </c>
      <c r="C351" s="149"/>
      <c r="D351" s="163">
        <v>40206</v>
      </c>
      <c r="E351" s="132" t="s">
        <v>532</v>
      </c>
      <c r="F351" s="164">
        <v>0</v>
      </c>
      <c r="G351" s="165">
        <v>0</v>
      </c>
      <c r="H351" s="165">
        <v>0</v>
      </c>
      <c r="I351" s="165">
        <v>0</v>
      </c>
      <c r="J351" s="165">
        <v>0</v>
      </c>
      <c r="K351" s="165">
        <v>0</v>
      </c>
      <c r="L351" s="165">
        <v>0</v>
      </c>
      <c r="M351" s="165">
        <v>0</v>
      </c>
      <c r="N351" s="165"/>
      <c r="O351" s="165">
        <v>0</v>
      </c>
      <c r="P351" s="165">
        <v>0</v>
      </c>
    </row>
    <row r="352" spans="1:16" ht="23.25" hidden="1" x14ac:dyDescent="0.25">
      <c r="A352" s="130"/>
      <c r="B352" s="183">
        <v>3.2</v>
      </c>
      <c r="C352" s="149"/>
      <c r="D352" s="163">
        <v>40207</v>
      </c>
      <c r="E352" s="132" t="s">
        <v>533</v>
      </c>
      <c r="F352" s="164">
        <v>0</v>
      </c>
      <c r="G352" s="165">
        <v>0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5">
        <v>0</v>
      </c>
      <c r="N352" s="165"/>
      <c r="O352" s="165">
        <v>0</v>
      </c>
      <c r="P352" s="165">
        <v>0</v>
      </c>
    </row>
    <row r="353" spans="1:16" ht="23.25" hidden="1" x14ac:dyDescent="0.25">
      <c r="A353" s="137"/>
      <c r="B353" s="183">
        <v>3.2</v>
      </c>
      <c r="C353" s="149"/>
      <c r="D353" s="163">
        <v>40208</v>
      </c>
      <c r="E353" s="132" t="s">
        <v>534</v>
      </c>
      <c r="F353" s="164">
        <v>0</v>
      </c>
      <c r="G353" s="165">
        <v>0</v>
      </c>
      <c r="H353" s="165">
        <v>0</v>
      </c>
      <c r="I353" s="165">
        <v>0</v>
      </c>
      <c r="J353" s="165">
        <v>0</v>
      </c>
      <c r="K353" s="165">
        <v>0</v>
      </c>
      <c r="L353" s="165">
        <v>0</v>
      </c>
      <c r="M353" s="165">
        <v>0</v>
      </c>
      <c r="N353" s="165"/>
      <c r="O353" s="165">
        <v>0</v>
      </c>
      <c r="P353" s="165">
        <v>0</v>
      </c>
    </row>
    <row r="354" spans="1:16" ht="34.5" hidden="1" x14ac:dyDescent="0.25">
      <c r="A354" s="130" t="s">
        <v>535</v>
      </c>
      <c r="B354" s="178"/>
      <c r="C354" s="179"/>
      <c r="D354" s="163"/>
      <c r="E354" s="132"/>
      <c r="F354" s="164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</row>
    <row r="355" spans="1:16" ht="34.5" hidden="1" x14ac:dyDescent="0.25">
      <c r="A355" s="130" t="s">
        <v>537</v>
      </c>
      <c r="B355" s="125"/>
      <c r="C355" s="157">
        <f>+C356+C369</f>
        <v>0</v>
      </c>
      <c r="D355" s="188">
        <v>8</v>
      </c>
      <c r="E355" s="131" t="s">
        <v>536</v>
      </c>
      <c r="F355" s="159">
        <f t="shared" ref="F355:P355" si="211">(F356+F360+F369+F373)</f>
        <v>0</v>
      </c>
      <c r="G355" s="165">
        <f t="shared" si="211"/>
        <v>0</v>
      </c>
      <c r="H355" s="165">
        <f t="shared" si="211"/>
        <v>0</v>
      </c>
      <c r="I355" s="165">
        <f t="shared" si="211"/>
        <v>0</v>
      </c>
      <c r="J355" s="165">
        <f t="shared" si="211"/>
        <v>0</v>
      </c>
      <c r="K355" s="165">
        <f t="shared" si="211"/>
        <v>0</v>
      </c>
      <c r="L355" s="165">
        <f t="shared" ref="L355" si="212">(L356+L360+L369+L373)</f>
        <v>0</v>
      </c>
      <c r="M355" s="165">
        <f t="shared" si="211"/>
        <v>0</v>
      </c>
      <c r="N355" s="165"/>
      <c r="O355" s="165">
        <f t="shared" si="211"/>
        <v>0</v>
      </c>
      <c r="P355" s="165">
        <f t="shared" si="211"/>
        <v>0</v>
      </c>
    </row>
    <row r="356" spans="1:16" ht="23.25" hidden="1" x14ac:dyDescent="0.25">
      <c r="A356" s="130"/>
      <c r="B356" s="125"/>
      <c r="C356" s="157">
        <f>+F356+F360</f>
        <v>0</v>
      </c>
      <c r="D356" s="187" t="s">
        <v>538</v>
      </c>
      <c r="E356" s="131" t="s">
        <v>539</v>
      </c>
      <c r="F356" s="159">
        <f t="shared" ref="F356:P356" si="213">(F357+F358)</f>
        <v>0</v>
      </c>
      <c r="G356" s="165">
        <f t="shared" si="213"/>
        <v>0</v>
      </c>
      <c r="H356" s="165">
        <f t="shared" si="213"/>
        <v>0</v>
      </c>
      <c r="I356" s="165">
        <f t="shared" si="213"/>
        <v>0</v>
      </c>
      <c r="J356" s="165">
        <f t="shared" si="213"/>
        <v>0</v>
      </c>
      <c r="K356" s="165">
        <f t="shared" si="213"/>
        <v>0</v>
      </c>
      <c r="L356" s="165">
        <f t="shared" ref="L356" si="214">(L357+L358)</f>
        <v>0</v>
      </c>
      <c r="M356" s="165">
        <f t="shared" si="213"/>
        <v>0</v>
      </c>
      <c r="N356" s="165"/>
      <c r="O356" s="165">
        <f t="shared" si="213"/>
        <v>0</v>
      </c>
      <c r="P356" s="165">
        <f t="shared" si="213"/>
        <v>0</v>
      </c>
    </row>
    <row r="357" spans="1:16" ht="23.25" hidden="1" x14ac:dyDescent="0.25">
      <c r="A357" s="130"/>
      <c r="B357" s="125" t="s">
        <v>540</v>
      </c>
      <c r="C357" s="149"/>
      <c r="D357" s="189" t="s">
        <v>541</v>
      </c>
      <c r="E357" s="132" t="s">
        <v>542</v>
      </c>
      <c r="F357" s="164">
        <v>0</v>
      </c>
      <c r="G357" s="165">
        <v>0</v>
      </c>
      <c r="H357" s="165">
        <v>0</v>
      </c>
      <c r="I357" s="165">
        <v>0</v>
      </c>
      <c r="J357" s="165">
        <v>0</v>
      </c>
      <c r="K357" s="165">
        <v>0</v>
      </c>
      <c r="L357" s="165">
        <v>0</v>
      </c>
      <c r="M357" s="165">
        <v>0</v>
      </c>
      <c r="N357" s="165"/>
      <c r="O357" s="165">
        <v>0</v>
      </c>
      <c r="P357" s="165">
        <v>0</v>
      </c>
    </row>
    <row r="358" spans="1:16" ht="23.25" hidden="1" x14ac:dyDescent="0.25">
      <c r="A358" s="130"/>
      <c r="B358" s="125" t="s">
        <v>540</v>
      </c>
      <c r="C358" s="149"/>
      <c r="D358" s="189" t="s">
        <v>543</v>
      </c>
      <c r="E358" s="132" t="s">
        <v>544</v>
      </c>
      <c r="F358" s="164">
        <v>0</v>
      </c>
      <c r="G358" s="165">
        <v>0</v>
      </c>
      <c r="H358" s="165">
        <v>0</v>
      </c>
      <c r="I358" s="165">
        <v>0</v>
      </c>
      <c r="J358" s="165">
        <v>0</v>
      </c>
      <c r="K358" s="165">
        <v>0</v>
      </c>
      <c r="L358" s="165">
        <v>0</v>
      </c>
      <c r="M358" s="165">
        <v>0</v>
      </c>
      <c r="N358" s="165"/>
      <c r="O358" s="165">
        <v>0</v>
      </c>
      <c r="P358" s="165">
        <v>0</v>
      </c>
    </row>
    <row r="359" spans="1:16" hidden="1" x14ac:dyDescent="0.25">
      <c r="A359" s="130"/>
      <c r="B359" s="125"/>
      <c r="C359" s="149"/>
      <c r="D359" s="189"/>
      <c r="E359" s="132"/>
      <c r="F359" s="164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</row>
    <row r="360" spans="1:16" hidden="1" x14ac:dyDescent="0.25">
      <c r="A360" s="130"/>
      <c r="B360" s="183" t="s">
        <v>540</v>
      </c>
      <c r="C360" s="157"/>
      <c r="D360" s="187" t="s">
        <v>545</v>
      </c>
      <c r="E360" s="131" t="s">
        <v>546</v>
      </c>
      <c r="F360" s="159">
        <f t="shared" ref="F360:P360" si="215">(F361+F362+F363+F364+F365+F366+F367)</f>
        <v>0</v>
      </c>
      <c r="G360" s="165">
        <f t="shared" si="215"/>
        <v>0</v>
      </c>
      <c r="H360" s="165">
        <f t="shared" si="215"/>
        <v>0</v>
      </c>
      <c r="I360" s="165">
        <f t="shared" si="215"/>
        <v>0</v>
      </c>
      <c r="J360" s="165">
        <f t="shared" si="215"/>
        <v>0</v>
      </c>
      <c r="K360" s="165">
        <f t="shared" si="215"/>
        <v>0</v>
      </c>
      <c r="L360" s="165">
        <f t="shared" ref="L360" si="216">(L361+L362+L363+L364+L365+L366+L367)</f>
        <v>0</v>
      </c>
      <c r="M360" s="165">
        <f t="shared" si="215"/>
        <v>0</v>
      </c>
      <c r="N360" s="165"/>
      <c r="O360" s="165">
        <f t="shared" si="215"/>
        <v>0</v>
      </c>
      <c r="P360" s="165">
        <f t="shared" si="215"/>
        <v>0</v>
      </c>
    </row>
    <row r="361" spans="1:16" ht="23.25" hidden="1" x14ac:dyDescent="0.25">
      <c r="A361" s="130"/>
      <c r="B361" s="125" t="s">
        <v>540</v>
      </c>
      <c r="C361" s="149"/>
      <c r="D361" s="189" t="s">
        <v>541</v>
      </c>
      <c r="E361" s="132" t="s">
        <v>547</v>
      </c>
      <c r="F361" s="164">
        <v>0</v>
      </c>
      <c r="G361" s="165">
        <v>0</v>
      </c>
      <c r="H361" s="165">
        <v>0</v>
      </c>
      <c r="I361" s="165">
        <v>0</v>
      </c>
      <c r="J361" s="165">
        <v>0</v>
      </c>
      <c r="K361" s="165">
        <v>0</v>
      </c>
      <c r="L361" s="165">
        <v>0</v>
      </c>
      <c r="M361" s="165">
        <v>0</v>
      </c>
      <c r="N361" s="165"/>
      <c r="O361" s="165">
        <v>0</v>
      </c>
      <c r="P361" s="165">
        <v>0</v>
      </c>
    </row>
    <row r="362" spans="1:16" ht="23.25" hidden="1" x14ac:dyDescent="0.25">
      <c r="A362" s="130"/>
      <c r="B362" s="125" t="s">
        <v>540</v>
      </c>
      <c r="C362" s="149"/>
      <c r="D362" s="189" t="s">
        <v>548</v>
      </c>
      <c r="E362" s="132" t="s">
        <v>549</v>
      </c>
      <c r="F362" s="164">
        <v>0</v>
      </c>
      <c r="G362" s="165">
        <v>0</v>
      </c>
      <c r="H362" s="165">
        <v>0</v>
      </c>
      <c r="I362" s="165">
        <v>0</v>
      </c>
      <c r="J362" s="165">
        <v>0</v>
      </c>
      <c r="K362" s="165">
        <v>0</v>
      </c>
      <c r="L362" s="165">
        <v>0</v>
      </c>
      <c r="M362" s="165">
        <v>0</v>
      </c>
      <c r="N362" s="165"/>
      <c r="O362" s="165">
        <v>0</v>
      </c>
      <c r="P362" s="165">
        <v>0</v>
      </c>
    </row>
    <row r="363" spans="1:16" ht="34.5" hidden="1" x14ac:dyDescent="0.25">
      <c r="A363" s="130"/>
      <c r="B363" s="125" t="s">
        <v>540</v>
      </c>
      <c r="C363" s="149"/>
      <c r="D363" s="189" t="s">
        <v>550</v>
      </c>
      <c r="E363" s="132" t="s">
        <v>551</v>
      </c>
      <c r="F363" s="164">
        <v>0</v>
      </c>
      <c r="G363" s="165">
        <v>0</v>
      </c>
      <c r="H363" s="165">
        <v>0</v>
      </c>
      <c r="I363" s="165">
        <v>0</v>
      </c>
      <c r="J363" s="165">
        <v>0</v>
      </c>
      <c r="K363" s="165">
        <v>0</v>
      </c>
      <c r="L363" s="165">
        <v>0</v>
      </c>
      <c r="M363" s="165">
        <v>0</v>
      </c>
      <c r="N363" s="165"/>
      <c r="O363" s="165">
        <v>0</v>
      </c>
      <c r="P363" s="165">
        <v>0</v>
      </c>
    </row>
    <row r="364" spans="1:16" ht="23.25" hidden="1" x14ac:dyDescent="0.25">
      <c r="A364" s="130"/>
      <c r="B364" s="125" t="s">
        <v>540</v>
      </c>
      <c r="C364" s="149"/>
      <c r="D364" s="189" t="s">
        <v>552</v>
      </c>
      <c r="E364" s="132" t="s">
        <v>553</v>
      </c>
      <c r="F364" s="164">
        <v>0</v>
      </c>
      <c r="G364" s="165">
        <v>0</v>
      </c>
      <c r="H364" s="165">
        <v>0</v>
      </c>
      <c r="I364" s="165">
        <v>0</v>
      </c>
      <c r="J364" s="165">
        <v>0</v>
      </c>
      <c r="K364" s="165">
        <v>0</v>
      </c>
      <c r="L364" s="165">
        <v>0</v>
      </c>
      <c r="M364" s="165">
        <v>0</v>
      </c>
      <c r="N364" s="165"/>
      <c r="O364" s="165">
        <v>0</v>
      </c>
      <c r="P364" s="165">
        <v>0</v>
      </c>
    </row>
    <row r="365" spans="1:16" ht="23.25" hidden="1" x14ac:dyDescent="0.25">
      <c r="A365" s="130"/>
      <c r="B365" s="125" t="s">
        <v>540</v>
      </c>
      <c r="C365" s="149"/>
      <c r="D365" s="189" t="s">
        <v>554</v>
      </c>
      <c r="E365" s="132" t="s">
        <v>555</v>
      </c>
      <c r="F365" s="164">
        <v>0</v>
      </c>
      <c r="G365" s="165">
        <v>0</v>
      </c>
      <c r="H365" s="165">
        <v>0</v>
      </c>
      <c r="I365" s="165">
        <v>0</v>
      </c>
      <c r="J365" s="165">
        <v>0</v>
      </c>
      <c r="K365" s="165">
        <v>0</v>
      </c>
      <c r="L365" s="165">
        <v>0</v>
      </c>
      <c r="M365" s="165">
        <v>0</v>
      </c>
      <c r="N365" s="165"/>
      <c r="O365" s="165">
        <v>0</v>
      </c>
      <c r="P365" s="165">
        <v>0</v>
      </c>
    </row>
    <row r="366" spans="1:16" ht="23.25" hidden="1" x14ac:dyDescent="0.25">
      <c r="A366" s="130"/>
      <c r="B366" s="125"/>
      <c r="C366" s="149"/>
      <c r="D366" s="189" t="s">
        <v>556</v>
      </c>
      <c r="E366" s="132" t="s">
        <v>557</v>
      </c>
      <c r="F366" s="164">
        <v>0</v>
      </c>
      <c r="G366" s="165">
        <v>0</v>
      </c>
      <c r="H366" s="165">
        <v>0</v>
      </c>
      <c r="I366" s="165">
        <v>0</v>
      </c>
      <c r="J366" s="165">
        <v>0</v>
      </c>
      <c r="K366" s="165">
        <v>0</v>
      </c>
      <c r="L366" s="165">
        <v>0</v>
      </c>
      <c r="M366" s="165">
        <v>0</v>
      </c>
      <c r="N366" s="165"/>
      <c r="O366" s="165">
        <v>0</v>
      </c>
      <c r="P366" s="165">
        <v>0</v>
      </c>
    </row>
    <row r="367" spans="1:16" ht="23.25" hidden="1" x14ac:dyDescent="0.25">
      <c r="A367" s="137"/>
      <c r="B367" s="125"/>
      <c r="C367" s="149"/>
      <c r="D367" s="189" t="s">
        <v>558</v>
      </c>
      <c r="E367" s="132" t="s">
        <v>559</v>
      </c>
      <c r="F367" s="164">
        <v>0</v>
      </c>
      <c r="G367" s="165">
        <v>0</v>
      </c>
      <c r="H367" s="165">
        <v>0</v>
      </c>
      <c r="I367" s="165">
        <v>0</v>
      </c>
      <c r="J367" s="165">
        <v>0</v>
      </c>
      <c r="K367" s="165">
        <v>0</v>
      </c>
      <c r="L367" s="165">
        <v>0</v>
      </c>
      <c r="M367" s="165">
        <v>0</v>
      </c>
      <c r="N367" s="165"/>
      <c r="O367" s="165">
        <v>0</v>
      </c>
      <c r="P367" s="165">
        <v>0</v>
      </c>
    </row>
    <row r="368" spans="1:16" ht="34.5" hidden="1" x14ac:dyDescent="0.25">
      <c r="A368" s="130" t="s">
        <v>560</v>
      </c>
      <c r="B368" s="178"/>
      <c r="C368" s="179"/>
      <c r="D368" s="189"/>
      <c r="E368" s="132"/>
      <c r="F368" s="164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</row>
    <row r="369" spans="1:16" ht="23.25" hidden="1" x14ac:dyDescent="0.25">
      <c r="A369" s="130"/>
      <c r="B369" s="125"/>
      <c r="C369" s="157">
        <f>+F369+F373</f>
        <v>0</v>
      </c>
      <c r="D369" s="187" t="s">
        <v>538</v>
      </c>
      <c r="E369" s="131" t="s">
        <v>539</v>
      </c>
      <c r="F369" s="159">
        <f t="shared" ref="F369:P369" si="217">(F370+F371)</f>
        <v>0</v>
      </c>
      <c r="G369" s="165">
        <f t="shared" si="217"/>
        <v>0</v>
      </c>
      <c r="H369" s="165">
        <f t="shared" si="217"/>
        <v>0</v>
      </c>
      <c r="I369" s="165">
        <f t="shared" si="217"/>
        <v>0</v>
      </c>
      <c r="J369" s="165">
        <f t="shared" si="217"/>
        <v>0</v>
      </c>
      <c r="K369" s="165">
        <f t="shared" si="217"/>
        <v>0</v>
      </c>
      <c r="L369" s="165">
        <f t="shared" ref="L369" si="218">(L370+L371)</f>
        <v>0</v>
      </c>
      <c r="M369" s="165">
        <f t="shared" si="217"/>
        <v>0</v>
      </c>
      <c r="N369" s="165"/>
      <c r="O369" s="165">
        <f t="shared" si="217"/>
        <v>0</v>
      </c>
      <c r="P369" s="165">
        <f t="shared" si="217"/>
        <v>0</v>
      </c>
    </row>
    <row r="370" spans="1:16" ht="23.25" hidden="1" x14ac:dyDescent="0.25">
      <c r="A370" s="130"/>
      <c r="B370" s="125" t="s">
        <v>561</v>
      </c>
      <c r="C370" s="149"/>
      <c r="D370" s="189" t="s">
        <v>562</v>
      </c>
      <c r="E370" s="132" t="s">
        <v>563</v>
      </c>
      <c r="F370" s="164">
        <v>0</v>
      </c>
      <c r="G370" s="165">
        <v>0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5">
        <v>0</v>
      </c>
      <c r="N370" s="165"/>
      <c r="O370" s="165">
        <v>0</v>
      </c>
      <c r="P370" s="165">
        <v>0</v>
      </c>
    </row>
    <row r="371" spans="1:16" ht="23.25" hidden="1" x14ac:dyDescent="0.25">
      <c r="A371" s="130"/>
      <c r="B371" s="125" t="s">
        <v>561</v>
      </c>
      <c r="C371" s="149"/>
      <c r="D371" s="189" t="s">
        <v>564</v>
      </c>
      <c r="E371" s="132" t="s">
        <v>565</v>
      </c>
      <c r="F371" s="164">
        <v>0</v>
      </c>
      <c r="G371" s="165">
        <v>0</v>
      </c>
      <c r="H371" s="165">
        <v>0</v>
      </c>
      <c r="I371" s="165">
        <v>0</v>
      </c>
      <c r="J371" s="165">
        <v>0</v>
      </c>
      <c r="K371" s="165">
        <v>0</v>
      </c>
      <c r="L371" s="165">
        <v>0</v>
      </c>
      <c r="M371" s="165">
        <v>0</v>
      </c>
      <c r="N371" s="165"/>
      <c r="O371" s="165">
        <v>0</v>
      </c>
      <c r="P371" s="165">
        <v>0</v>
      </c>
    </row>
    <row r="372" spans="1:16" hidden="1" x14ac:dyDescent="0.25">
      <c r="A372" s="130"/>
      <c r="B372" s="125"/>
      <c r="C372" s="149"/>
      <c r="D372" s="189"/>
      <c r="E372" s="132"/>
      <c r="F372" s="164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</row>
    <row r="373" spans="1:16" hidden="1" x14ac:dyDescent="0.25">
      <c r="A373" s="130"/>
      <c r="B373" s="183" t="s">
        <v>561</v>
      </c>
      <c r="C373" s="157"/>
      <c r="D373" s="187" t="s">
        <v>545</v>
      </c>
      <c r="E373" s="131" t="s">
        <v>546</v>
      </c>
      <c r="F373" s="159">
        <f t="shared" ref="F373:P373" si="219">F374</f>
        <v>0</v>
      </c>
      <c r="G373" s="165">
        <f t="shared" si="219"/>
        <v>0</v>
      </c>
      <c r="H373" s="165">
        <f t="shared" si="219"/>
        <v>0</v>
      </c>
      <c r="I373" s="165">
        <f t="shared" si="219"/>
        <v>0</v>
      </c>
      <c r="J373" s="165">
        <f t="shared" si="219"/>
        <v>0</v>
      </c>
      <c r="K373" s="165">
        <f t="shared" si="219"/>
        <v>0</v>
      </c>
      <c r="L373" s="165">
        <f t="shared" si="219"/>
        <v>0</v>
      </c>
      <c r="M373" s="165">
        <f t="shared" si="219"/>
        <v>0</v>
      </c>
      <c r="N373" s="165"/>
      <c r="O373" s="165">
        <f t="shared" si="219"/>
        <v>0</v>
      </c>
      <c r="P373" s="165">
        <f t="shared" si="219"/>
        <v>0</v>
      </c>
    </row>
    <row r="374" spans="1:16" ht="23.25" hidden="1" x14ac:dyDescent="0.25">
      <c r="A374" s="137"/>
      <c r="B374" s="125" t="s">
        <v>561</v>
      </c>
      <c r="C374" s="149"/>
      <c r="D374" s="189" t="s">
        <v>566</v>
      </c>
      <c r="E374" s="132" t="s">
        <v>567</v>
      </c>
      <c r="F374" s="164">
        <v>0</v>
      </c>
      <c r="G374" s="165">
        <v>0</v>
      </c>
      <c r="H374" s="165">
        <v>0</v>
      </c>
      <c r="I374" s="165">
        <v>0</v>
      </c>
      <c r="J374" s="165">
        <v>0</v>
      </c>
      <c r="K374" s="165">
        <v>0</v>
      </c>
      <c r="L374" s="165">
        <v>0</v>
      </c>
      <c r="M374" s="165">
        <v>0</v>
      </c>
      <c r="N374" s="165"/>
      <c r="O374" s="165">
        <v>0</v>
      </c>
      <c r="P374" s="165">
        <v>0</v>
      </c>
    </row>
    <row r="375" spans="1:16" ht="34.5" hidden="1" x14ac:dyDescent="0.25">
      <c r="A375" s="130" t="s">
        <v>568</v>
      </c>
      <c r="B375" s="178"/>
      <c r="C375" s="179"/>
      <c r="D375" s="189"/>
      <c r="E375" s="132"/>
      <c r="F375" s="164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</row>
    <row r="376" spans="1:16" hidden="1" x14ac:dyDescent="0.25">
      <c r="A376" s="130"/>
      <c r="B376" s="125"/>
      <c r="C376" s="157">
        <f>+F376</f>
        <v>0</v>
      </c>
      <c r="D376" s="187" t="s">
        <v>569</v>
      </c>
      <c r="E376" s="131" t="s">
        <v>570</v>
      </c>
      <c r="F376" s="159">
        <f t="shared" ref="F376:P376" si="220">(F377+F378)</f>
        <v>0</v>
      </c>
      <c r="G376" s="165">
        <f t="shared" si="220"/>
        <v>0</v>
      </c>
      <c r="H376" s="165">
        <f t="shared" si="220"/>
        <v>0</v>
      </c>
      <c r="I376" s="165">
        <f t="shared" si="220"/>
        <v>0</v>
      </c>
      <c r="J376" s="165">
        <f t="shared" si="220"/>
        <v>0</v>
      </c>
      <c r="K376" s="165">
        <f t="shared" si="220"/>
        <v>0</v>
      </c>
      <c r="L376" s="165">
        <f t="shared" ref="L376" si="221">(L377+L378)</f>
        <v>0</v>
      </c>
      <c r="M376" s="165">
        <f t="shared" si="220"/>
        <v>0</v>
      </c>
      <c r="N376" s="165"/>
      <c r="O376" s="165">
        <f t="shared" si="220"/>
        <v>0</v>
      </c>
      <c r="P376" s="165">
        <f t="shared" si="220"/>
        <v>0</v>
      </c>
    </row>
    <row r="377" spans="1:16" hidden="1" x14ac:dyDescent="0.25">
      <c r="A377" s="130"/>
      <c r="B377" s="183">
        <v>3.4</v>
      </c>
      <c r="C377" s="149"/>
      <c r="D377" s="163">
        <v>49901</v>
      </c>
      <c r="E377" s="132" t="s">
        <v>571</v>
      </c>
      <c r="F377" s="164">
        <v>0</v>
      </c>
      <c r="G377" s="165">
        <v>0</v>
      </c>
      <c r="H377" s="165">
        <v>0</v>
      </c>
      <c r="I377" s="165">
        <v>0</v>
      </c>
      <c r="J377" s="165">
        <v>0</v>
      </c>
      <c r="K377" s="165">
        <v>0</v>
      </c>
      <c r="L377" s="165">
        <v>0</v>
      </c>
      <c r="M377" s="165">
        <v>0</v>
      </c>
      <c r="N377" s="165"/>
      <c r="O377" s="165">
        <v>0</v>
      </c>
      <c r="P377" s="165">
        <v>0</v>
      </c>
    </row>
    <row r="378" spans="1:16" hidden="1" x14ac:dyDescent="0.25">
      <c r="A378" s="137"/>
      <c r="B378" s="183">
        <v>3.4</v>
      </c>
      <c r="C378" s="149"/>
      <c r="D378" s="163">
        <v>49999</v>
      </c>
      <c r="E378" s="132" t="s">
        <v>572</v>
      </c>
      <c r="F378" s="164">
        <v>0</v>
      </c>
      <c r="G378" s="165">
        <v>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/>
      <c r="O378" s="165">
        <v>0</v>
      </c>
      <c r="P378" s="165">
        <v>0</v>
      </c>
    </row>
    <row r="379" spans="1:16" x14ac:dyDescent="0.25">
      <c r="A379" s="148" t="s">
        <v>573</v>
      </c>
      <c r="B379" s="178"/>
      <c r="C379" s="179"/>
      <c r="D379" s="158"/>
      <c r="E379" s="131"/>
      <c r="F379" s="164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</row>
    <row r="380" spans="1:16" x14ac:dyDescent="0.25">
      <c r="A380" s="130"/>
      <c r="B380" s="185"/>
      <c r="C380" s="186">
        <f>+F381</f>
        <v>0</v>
      </c>
      <c r="D380" s="188">
        <v>9</v>
      </c>
      <c r="E380" s="131" t="s">
        <v>574</v>
      </c>
      <c r="F380" s="159">
        <f>+F381</f>
        <v>0</v>
      </c>
      <c r="G380" s="159">
        <f t="shared" ref="G380:O380" si="222">+G381</f>
        <v>0</v>
      </c>
      <c r="H380" s="159">
        <f t="shared" si="222"/>
        <v>0</v>
      </c>
      <c r="I380" s="159">
        <f t="shared" si="222"/>
        <v>0</v>
      </c>
      <c r="J380" s="159">
        <f t="shared" si="222"/>
        <v>0</v>
      </c>
      <c r="K380" s="159">
        <f t="shared" si="222"/>
        <v>0</v>
      </c>
      <c r="L380" s="159">
        <f t="shared" si="222"/>
        <v>0</v>
      </c>
      <c r="M380" s="159">
        <f t="shared" si="222"/>
        <v>0</v>
      </c>
      <c r="N380" s="159"/>
      <c r="O380" s="172">
        <f t="shared" si="222"/>
        <v>0</v>
      </c>
      <c r="P380" s="165">
        <f t="shared" ref="P380:P383" si="223">+H380-O380</f>
        <v>0</v>
      </c>
    </row>
    <row r="381" spans="1:16" ht="23.25" x14ac:dyDescent="0.25">
      <c r="A381" s="130"/>
      <c r="B381" s="125"/>
      <c r="C381" s="149"/>
      <c r="D381" s="128">
        <v>9.02</v>
      </c>
      <c r="E381" s="131" t="s">
        <v>575</v>
      </c>
      <c r="F381" s="159">
        <f t="shared" ref="F381:O381" si="224">(F382+F383)</f>
        <v>0</v>
      </c>
      <c r="G381" s="165">
        <f t="shared" si="224"/>
        <v>0</v>
      </c>
      <c r="H381" s="165">
        <f t="shared" si="224"/>
        <v>0</v>
      </c>
      <c r="I381" s="165">
        <f t="shared" si="224"/>
        <v>0</v>
      </c>
      <c r="J381" s="165">
        <f t="shared" si="224"/>
        <v>0</v>
      </c>
      <c r="K381" s="165">
        <f t="shared" si="224"/>
        <v>0</v>
      </c>
      <c r="L381" s="165">
        <f t="shared" ref="L381" si="225">(L382+L383)</f>
        <v>0</v>
      </c>
      <c r="M381" s="165">
        <f t="shared" si="224"/>
        <v>0</v>
      </c>
      <c r="N381" s="165"/>
      <c r="O381" s="165">
        <f t="shared" si="224"/>
        <v>0</v>
      </c>
      <c r="P381" s="165">
        <f t="shared" si="223"/>
        <v>0</v>
      </c>
    </row>
    <row r="382" spans="1:16" ht="23.25" hidden="1" x14ac:dyDescent="0.25">
      <c r="A382" s="130"/>
      <c r="B382" s="183">
        <v>4</v>
      </c>
      <c r="C382" s="149"/>
      <c r="D382" s="125" t="s">
        <v>576</v>
      </c>
      <c r="E382" s="132" t="s">
        <v>577</v>
      </c>
      <c r="F382" s="164">
        <v>0</v>
      </c>
      <c r="G382" s="165">
        <v>0</v>
      </c>
      <c r="H382" s="165">
        <v>0</v>
      </c>
      <c r="I382" s="165">
        <v>0</v>
      </c>
      <c r="J382" s="165">
        <v>0</v>
      </c>
      <c r="K382" s="165">
        <v>0</v>
      </c>
      <c r="L382" s="165">
        <f t="shared" ref="L382:L383" si="226">+I382+J382+K382</f>
        <v>0</v>
      </c>
      <c r="M382" s="165">
        <v>0</v>
      </c>
      <c r="N382" s="165"/>
      <c r="O382" s="165">
        <v>0</v>
      </c>
      <c r="P382" s="165">
        <f t="shared" si="223"/>
        <v>0</v>
      </c>
    </row>
    <row r="383" spans="1:16" ht="23.25" x14ac:dyDescent="0.25">
      <c r="A383" s="137"/>
      <c r="B383" s="183">
        <v>4</v>
      </c>
      <c r="C383" s="149"/>
      <c r="D383" s="125" t="s">
        <v>578</v>
      </c>
      <c r="E383" s="132" t="s">
        <v>579</v>
      </c>
      <c r="F383" s="164">
        <v>0</v>
      </c>
      <c r="G383" s="164">
        <v>0</v>
      </c>
      <c r="H383" s="165">
        <f>+G383</f>
        <v>0</v>
      </c>
      <c r="I383" s="165">
        <v>0</v>
      </c>
      <c r="J383" s="165">
        <v>0</v>
      </c>
      <c r="K383" s="165">
        <v>0</v>
      </c>
      <c r="L383" s="165">
        <f t="shared" si="226"/>
        <v>0</v>
      </c>
      <c r="M383" s="165">
        <v>0</v>
      </c>
      <c r="N383" s="165"/>
      <c r="O383" s="165">
        <v>0</v>
      </c>
      <c r="P383" s="165">
        <f t="shared" si="223"/>
        <v>0</v>
      </c>
    </row>
    <row r="384" spans="1:16" x14ac:dyDescent="0.25">
      <c r="A384" s="134"/>
      <c r="B384" s="178"/>
      <c r="C384" s="179"/>
      <c r="D384" s="125"/>
      <c r="E384" s="125"/>
      <c r="F384" s="164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</row>
    <row r="385" spans="1:16" x14ac:dyDescent="0.25">
      <c r="A385" s="141" t="s">
        <v>580</v>
      </c>
      <c r="B385" s="152"/>
      <c r="C385" s="153" t="e">
        <f>+C380+C334+C268+C7</f>
        <v>#REF!</v>
      </c>
      <c r="D385" s="125"/>
      <c r="E385" s="144" t="s">
        <v>580</v>
      </c>
      <c r="F385" s="159">
        <f t="shared" ref="F385:P385" si="227">+F268+F7+F380</f>
        <v>6475036000.2299995</v>
      </c>
      <c r="G385" s="159">
        <f t="shared" si="227"/>
        <v>0</v>
      </c>
      <c r="H385" s="159">
        <f t="shared" si="227"/>
        <v>6475036000.2299995</v>
      </c>
      <c r="I385" s="159">
        <f t="shared" si="227"/>
        <v>0</v>
      </c>
      <c r="J385" s="159">
        <f t="shared" si="227"/>
        <v>0</v>
      </c>
      <c r="K385" s="159">
        <f t="shared" si="227"/>
        <v>0</v>
      </c>
      <c r="L385" s="159">
        <f t="shared" si="227"/>
        <v>0</v>
      </c>
      <c r="M385" s="159">
        <f t="shared" si="227"/>
        <v>1057869449.8700002</v>
      </c>
      <c r="N385" s="159">
        <f t="shared" si="227"/>
        <v>0</v>
      </c>
      <c r="O385" s="159">
        <f t="shared" si="227"/>
        <v>1057869449.8700002</v>
      </c>
      <c r="P385" s="159">
        <f t="shared" si="227"/>
        <v>5416866550.3600006</v>
      </c>
    </row>
    <row r="386" spans="1:16" x14ac:dyDescent="0.25">
      <c r="B386" s="1"/>
      <c r="C386" s="1"/>
      <c r="D386" s="1"/>
      <c r="F386" s="190"/>
      <c r="G386" s="1"/>
      <c r="H386" s="190"/>
      <c r="I386" s="1"/>
      <c r="J386" s="191"/>
      <c r="K386" s="1"/>
      <c r="L386" s="1"/>
      <c r="M386" s="190"/>
      <c r="N386" s="190"/>
      <c r="O386" s="192"/>
      <c r="P386" s="191"/>
    </row>
    <row r="387" spans="1:16" x14ac:dyDescent="0.25">
      <c r="H387" s="2"/>
      <c r="J387" s="102"/>
      <c r="M387" s="102"/>
      <c r="N387" s="102"/>
      <c r="O387" s="2"/>
      <c r="P387" s="2"/>
    </row>
    <row r="388" spans="1:16" x14ac:dyDescent="0.25">
      <c r="A388"/>
      <c r="F388" s="2"/>
      <c r="M388" s="2"/>
      <c r="N388" s="2"/>
      <c r="O388" s="2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46"/>
  <sheetViews>
    <sheetView showGridLines="0" topLeftCell="A23" workbookViewId="0">
      <selection activeCell="A25" sqref="A25:E46"/>
    </sheetView>
  </sheetViews>
  <sheetFormatPr baseColWidth="10" defaultRowHeight="15" x14ac:dyDescent="0.25"/>
  <cols>
    <col min="1" max="1" width="46.5703125" customWidth="1"/>
    <col min="2" max="2" width="20.85546875" bestFit="1" customWidth="1"/>
    <col min="3" max="3" width="23.28515625" bestFit="1" customWidth="1"/>
    <col min="4" max="4" width="20.140625" bestFit="1" customWidth="1"/>
    <col min="5" max="5" width="13.7109375" customWidth="1"/>
    <col min="8" max="8" width="12.42578125" bestFit="1" customWidth="1"/>
  </cols>
  <sheetData>
    <row r="2" spans="1:5" ht="18" x14ac:dyDescent="0.25">
      <c r="A2" s="243" t="s">
        <v>0</v>
      </c>
      <c r="B2" s="243"/>
      <c r="C2" s="243"/>
      <c r="D2" s="243"/>
      <c r="E2" s="243"/>
    </row>
    <row r="3" spans="1:5" ht="18" x14ac:dyDescent="0.25">
      <c r="A3" s="243" t="s">
        <v>587</v>
      </c>
      <c r="B3" s="243"/>
      <c r="C3" s="243"/>
      <c r="D3" s="243"/>
      <c r="E3" s="243"/>
    </row>
    <row r="4" spans="1:5" ht="18" x14ac:dyDescent="0.25">
      <c r="A4" s="242" t="s">
        <v>693</v>
      </c>
      <c r="B4" s="242"/>
      <c r="C4" s="242"/>
      <c r="D4" s="242"/>
      <c r="E4" s="242"/>
    </row>
    <row r="5" spans="1:5" ht="18" x14ac:dyDescent="0.25">
      <c r="A5" s="242" t="s">
        <v>588</v>
      </c>
      <c r="B5" s="242"/>
      <c r="C5" s="242"/>
      <c r="D5" s="242"/>
      <c r="E5" s="242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604</v>
      </c>
      <c r="B7" s="25"/>
      <c r="C7" s="25"/>
      <c r="D7" s="25"/>
      <c r="E7" s="25"/>
    </row>
    <row r="8" spans="1:5" ht="18" x14ac:dyDescent="0.25">
      <c r="A8" s="24" t="s">
        <v>591</v>
      </c>
      <c r="B8" s="25"/>
      <c r="C8" s="25"/>
      <c r="D8" s="25"/>
      <c r="E8" s="25"/>
    </row>
    <row r="9" spans="1:5" ht="18" x14ac:dyDescent="0.25">
      <c r="A9" s="25" t="s">
        <v>592</v>
      </c>
      <c r="B9" s="28">
        <v>64777228.829999998</v>
      </c>
      <c r="C9" s="28">
        <v>55783778.82</v>
      </c>
      <c r="D9" s="28">
        <f>+B9-C9</f>
        <v>8993450.0099999979</v>
      </c>
      <c r="E9" s="30">
        <f>+D9/C9</f>
        <v>0.16121980619168097</v>
      </c>
    </row>
    <row r="10" spans="1:5" ht="24" customHeight="1" x14ac:dyDescent="0.25">
      <c r="A10" s="25" t="s">
        <v>593</v>
      </c>
      <c r="B10" s="28">
        <v>47591103.130000003</v>
      </c>
      <c r="C10" s="28">
        <v>61974562.469999999</v>
      </c>
      <c r="D10" s="28">
        <f t="shared" ref="D10:D13" si="0">+B10-C10</f>
        <v>-14383459.339999996</v>
      </c>
      <c r="E10" s="30">
        <f t="shared" ref="E10:E13" si="1">+D10/C10</f>
        <v>-0.23208650076331869</v>
      </c>
    </row>
    <row r="11" spans="1:5" ht="22.5" customHeight="1" x14ac:dyDescent="0.25">
      <c r="A11" s="25" t="s">
        <v>594</v>
      </c>
      <c r="B11" s="28">
        <v>7752061.54</v>
      </c>
      <c r="C11" s="28">
        <v>10114041.9</v>
      </c>
      <c r="D11" s="28">
        <f t="shared" si="0"/>
        <v>-2361980.3600000003</v>
      </c>
      <c r="E11" s="30">
        <f t="shared" si="1"/>
        <v>-0.23353476121153902</v>
      </c>
    </row>
    <row r="12" spans="1:5" ht="30" customHeight="1" x14ac:dyDescent="0.25">
      <c r="A12" s="25" t="s">
        <v>595</v>
      </c>
      <c r="B12" s="28">
        <v>9208491.4100000001</v>
      </c>
      <c r="C12" s="28">
        <v>6272409.0999999996</v>
      </c>
      <c r="D12" s="28">
        <f t="shared" si="0"/>
        <v>2936082.3100000005</v>
      </c>
      <c r="E12" s="30">
        <f t="shared" si="1"/>
        <v>0.46809483616111719</v>
      </c>
    </row>
    <row r="13" spans="1:5" ht="18" x14ac:dyDescent="0.25">
      <c r="A13" s="25" t="s">
        <v>596</v>
      </c>
      <c r="B13" s="29">
        <v>112353.98</v>
      </c>
      <c r="C13" s="29">
        <v>79439.92</v>
      </c>
      <c r="D13" s="29">
        <f t="shared" si="0"/>
        <v>32914.06</v>
      </c>
      <c r="E13" s="30">
        <f t="shared" si="1"/>
        <v>0.41432644947275876</v>
      </c>
    </row>
    <row r="14" spans="1:5" ht="24" customHeight="1" thickBot="1" x14ac:dyDescent="0.3">
      <c r="A14" s="24" t="s">
        <v>597</v>
      </c>
      <c r="B14" s="33">
        <f>SUM(B9:B13)</f>
        <v>129441238.89000002</v>
      </c>
      <c r="C14" s="33">
        <f>SUM(C9:C13)</f>
        <v>134224232.20999998</v>
      </c>
      <c r="D14" s="33">
        <f>SUM(D9:D13)</f>
        <v>-4782993.3199999984</v>
      </c>
      <c r="E14" s="34">
        <f>+D14/C14</f>
        <v>-3.5634350379570696E-2</v>
      </c>
    </row>
    <row r="15" spans="1:5" ht="18.75" thickTop="1" x14ac:dyDescent="0.25">
      <c r="A15" s="25"/>
      <c r="B15" s="28"/>
      <c r="C15" s="28"/>
      <c r="D15" s="28"/>
      <c r="E15" s="25"/>
    </row>
    <row r="16" spans="1:5" ht="18" x14ac:dyDescent="0.25">
      <c r="A16" s="25"/>
      <c r="B16" s="28"/>
      <c r="C16" s="28"/>
      <c r="D16" s="28"/>
      <c r="E16" s="25"/>
    </row>
    <row r="17" spans="1:8" ht="18" x14ac:dyDescent="0.25">
      <c r="A17" s="24" t="s">
        <v>598</v>
      </c>
      <c r="B17" s="28"/>
      <c r="C17" s="28"/>
      <c r="D17" s="28"/>
      <c r="E17" s="25"/>
    </row>
    <row r="18" spans="1:8" ht="21" customHeight="1" x14ac:dyDescent="0.25">
      <c r="A18" s="25" t="s">
        <v>599</v>
      </c>
      <c r="B18" s="28">
        <v>45414080</v>
      </c>
      <c r="C18" s="28">
        <v>30574990</v>
      </c>
      <c r="D18" s="28">
        <f t="shared" ref="D18:D20" si="2">+B18-C18</f>
        <v>14839090</v>
      </c>
      <c r="E18" s="30">
        <f>+D18/C18</f>
        <v>0.48533425521970736</v>
      </c>
    </row>
    <row r="19" spans="1:8" ht="22.5" customHeight="1" x14ac:dyDescent="0.25">
      <c r="A19" s="25" t="s">
        <v>600</v>
      </c>
      <c r="B19" s="28">
        <v>8413.07</v>
      </c>
      <c r="C19" s="28">
        <v>8413.07</v>
      </c>
      <c r="D19" s="28">
        <f t="shared" si="2"/>
        <v>0</v>
      </c>
      <c r="E19" s="30">
        <f t="shared" ref="E19:E21" si="3">+D19/C19</f>
        <v>0</v>
      </c>
      <c r="H19" s="2"/>
    </row>
    <row r="20" spans="1:8" ht="23.25" customHeight="1" x14ac:dyDescent="0.25">
      <c r="A20" s="25" t="s">
        <v>601</v>
      </c>
      <c r="B20" s="28">
        <v>4395109.18</v>
      </c>
      <c r="C20" s="28">
        <v>4362389.95</v>
      </c>
      <c r="D20" s="28">
        <f t="shared" si="2"/>
        <v>32719.229999999516</v>
      </c>
      <c r="E20" s="30">
        <f t="shared" si="3"/>
        <v>7.5002992339095031E-3</v>
      </c>
    </row>
    <row r="21" spans="1:8" ht="23.25" customHeight="1" thickBot="1" x14ac:dyDescent="0.3">
      <c r="A21" s="24" t="s">
        <v>602</v>
      </c>
      <c r="B21" s="33">
        <f>SUM(B18:B20)</f>
        <v>49817602.25</v>
      </c>
      <c r="C21" s="33">
        <f>SUM(C18:C20)</f>
        <v>34945793.020000003</v>
      </c>
      <c r="D21" s="33">
        <f>SUM(D18:D20)</f>
        <v>14871809.23</v>
      </c>
      <c r="E21" s="37">
        <f t="shared" si="3"/>
        <v>0.42556794236973361</v>
      </c>
    </row>
    <row r="22" spans="1:8" ht="23.25" customHeight="1" thickTop="1" x14ac:dyDescent="0.25">
      <c r="A22" s="24" t="s">
        <v>603</v>
      </c>
      <c r="B22" s="35">
        <f>+B21+B14</f>
        <v>179258841.14000002</v>
      </c>
      <c r="C22" s="35">
        <f>+C21+C14</f>
        <v>169170025.22999999</v>
      </c>
      <c r="D22" s="35">
        <f>+D21+D14</f>
        <v>10088815.910000002</v>
      </c>
      <c r="E22" s="36">
        <f>+D22/C22</f>
        <v>5.963713663980047E-2</v>
      </c>
    </row>
    <row r="23" spans="1:8" ht="18" x14ac:dyDescent="0.25">
      <c r="A23" s="25"/>
      <c r="B23" s="28"/>
      <c r="C23" s="28"/>
      <c r="D23" s="28"/>
      <c r="E23" s="25"/>
    </row>
    <row r="24" spans="1:8" ht="18" x14ac:dyDescent="0.25">
      <c r="A24" s="25"/>
      <c r="B24" s="28"/>
      <c r="C24" s="28"/>
      <c r="D24" s="28"/>
      <c r="E24" s="25"/>
    </row>
    <row r="25" spans="1:8" ht="18" x14ac:dyDescent="0.25">
      <c r="A25" s="243" t="s">
        <v>0</v>
      </c>
      <c r="B25" s="243"/>
      <c r="C25" s="243"/>
      <c r="D25" s="243"/>
      <c r="E25" s="243"/>
    </row>
    <row r="26" spans="1:8" ht="18" x14ac:dyDescent="0.25">
      <c r="A26" s="243" t="s">
        <v>587</v>
      </c>
      <c r="B26" s="243"/>
      <c r="C26" s="243"/>
      <c r="D26" s="243"/>
      <c r="E26" s="243"/>
    </row>
    <row r="27" spans="1:8" ht="18" x14ac:dyDescent="0.25">
      <c r="A27" s="242" t="str">
        <f>+A4</f>
        <v>Al 31 de marzo del 2022</v>
      </c>
      <c r="B27" s="242"/>
      <c r="C27" s="242"/>
      <c r="D27" s="242"/>
      <c r="E27" s="242"/>
    </row>
    <row r="28" spans="1:8" ht="18" x14ac:dyDescent="0.25">
      <c r="A28" s="242" t="s">
        <v>588</v>
      </c>
      <c r="B28" s="242"/>
      <c r="C28" s="242"/>
      <c r="D28" s="242"/>
      <c r="E28" s="242"/>
    </row>
    <row r="29" spans="1:8" ht="36" x14ac:dyDescent="0.25">
      <c r="A29" s="25"/>
      <c r="B29" s="26">
        <v>2021</v>
      </c>
      <c r="C29" s="26">
        <v>2020</v>
      </c>
      <c r="D29" s="27" t="s">
        <v>589</v>
      </c>
      <c r="E29" s="27" t="s">
        <v>590</v>
      </c>
    </row>
    <row r="30" spans="1:8" ht="18" x14ac:dyDescent="0.25">
      <c r="A30" s="25"/>
      <c r="B30" s="26"/>
      <c r="C30" s="26"/>
      <c r="D30" s="27"/>
      <c r="E30" s="27"/>
    </row>
    <row r="31" spans="1:8" ht="18" x14ac:dyDescent="0.25">
      <c r="A31" s="32" t="s">
        <v>605</v>
      </c>
      <c r="B31" s="28"/>
      <c r="C31" s="28"/>
      <c r="D31" s="28"/>
      <c r="E31" s="25"/>
    </row>
    <row r="32" spans="1:8" ht="21" customHeight="1" x14ac:dyDescent="0.25">
      <c r="A32" s="24" t="s">
        <v>606</v>
      </c>
      <c r="B32" s="28"/>
      <c r="C32" s="28"/>
      <c r="D32" s="28"/>
      <c r="E32" s="25"/>
    </row>
    <row r="33" spans="1:5" ht="22.5" customHeight="1" x14ac:dyDescent="0.25">
      <c r="A33" s="25" t="s">
        <v>607</v>
      </c>
      <c r="B33" s="28">
        <v>3016643.66</v>
      </c>
      <c r="C33" s="28">
        <v>764418.77</v>
      </c>
      <c r="D33" s="28">
        <f>+B33-C33</f>
        <v>2252224.89</v>
      </c>
      <c r="E33" s="30">
        <f>+D33/C33</f>
        <v>2.9463233745555466</v>
      </c>
    </row>
    <row r="34" spans="1:5" ht="23.25" customHeight="1" x14ac:dyDescent="0.25">
      <c r="A34" s="25" t="s">
        <v>608</v>
      </c>
      <c r="B34" s="29">
        <v>599636.41</v>
      </c>
      <c r="C34" s="29">
        <v>463438.4</v>
      </c>
      <c r="D34" s="29">
        <f>+B34-C34</f>
        <v>136198.01</v>
      </c>
      <c r="E34" s="31">
        <f>+D34/C34</f>
        <v>0.29388589724114361</v>
      </c>
    </row>
    <row r="35" spans="1:5" ht="23.25" customHeight="1" x14ac:dyDescent="0.25">
      <c r="A35" s="25" t="s">
        <v>673</v>
      </c>
      <c r="B35" s="28">
        <v>0</v>
      </c>
      <c r="C35" s="28">
        <v>3791763.16</v>
      </c>
      <c r="D35" s="29">
        <f>+B35-C35</f>
        <v>-3791763.16</v>
      </c>
      <c r="E35" s="31">
        <v>1</v>
      </c>
    </row>
    <row r="36" spans="1:5" ht="23.25" customHeight="1" thickBot="1" x14ac:dyDescent="0.3">
      <c r="A36" s="24" t="s">
        <v>609</v>
      </c>
      <c r="B36" s="33">
        <f>SUM(B33:B35)</f>
        <v>3616280.0700000003</v>
      </c>
      <c r="C36" s="33">
        <f>SUM(C33:C35)</f>
        <v>5019620.33</v>
      </c>
      <c r="D36" s="33">
        <f>SUM(D33:D35)</f>
        <v>-1403340.2599999998</v>
      </c>
      <c r="E36" s="34">
        <f>+D36/C36</f>
        <v>-0.27957099695625781</v>
      </c>
    </row>
    <row r="37" spans="1:5" ht="21.75" customHeight="1" thickTop="1" x14ac:dyDescent="0.25">
      <c r="A37" s="24" t="s">
        <v>610</v>
      </c>
      <c r="B37" s="35">
        <f>+B36</f>
        <v>3616280.0700000003</v>
      </c>
      <c r="C37" s="35">
        <f>+C36</f>
        <v>5019620.33</v>
      </c>
      <c r="D37" s="35">
        <f>+D36</f>
        <v>-1403340.2599999998</v>
      </c>
      <c r="E37" s="36">
        <f>+E36</f>
        <v>-0.27957099695625781</v>
      </c>
    </row>
    <row r="38" spans="1:5" ht="18" x14ac:dyDescent="0.25">
      <c r="A38" s="25"/>
      <c r="B38" s="25"/>
      <c r="C38" s="25"/>
      <c r="D38" s="25"/>
      <c r="E38" s="25"/>
    </row>
    <row r="39" spans="1:5" ht="18" x14ac:dyDescent="0.25">
      <c r="A39" s="24" t="s">
        <v>611</v>
      </c>
      <c r="B39" s="25"/>
      <c r="C39" s="25"/>
      <c r="D39" s="25"/>
      <c r="E39" s="25"/>
    </row>
    <row r="40" spans="1:5" ht="18" x14ac:dyDescent="0.25">
      <c r="A40" s="24" t="s">
        <v>612</v>
      </c>
      <c r="B40" s="25"/>
      <c r="C40" s="25"/>
      <c r="D40" s="25"/>
      <c r="E40" s="25"/>
    </row>
    <row r="41" spans="1:5" ht="24.75" customHeight="1" x14ac:dyDescent="0.25">
      <c r="A41" s="25" t="s">
        <v>613</v>
      </c>
      <c r="B41" s="28">
        <v>21933326.109999999</v>
      </c>
      <c r="C41" s="28">
        <v>21933326.109999999</v>
      </c>
      <c r="D41" s="28">
        <f>+B41-C41</f>
        <v>0</v>
      </c>
      <c r="E41" s="30">
        <f>+D41/C41</f>
        <v>0</v>
      </c>
    </row>
    <row r="42" spans="1:5" ht="25.5" customHeight="1" x14ac:dyDescent="0.25">
      <c r="A42" s="25" t="s">
        <v>614</v>
      </c>
      <c r="B42" s="29">
        <v>153709234.96000001</v>
      </c>
      <c r="C42" s="29">
        <v>142217078.78999999</v>
      </c>
      <c r="D42" s="29">
        <f>+B42-C42</f>
        <v>11492156.170000017</v>
      </c>
      <c r="E42" s="31">
        <f>+D42/C42</f>
        <v>8.0807145441157024E-2</v>
      </c>
    </row>
    <row r="43" spans="1:5" ht="24.75" customHeight="1" thickBot="1" x14ac:dyDescent="0.3">
      <c r="A43" s="24" t="s">
        <v>615</v>
      </c>
      <c r="B43" s="38">
        <f>+B42+B41</f>
        <v>175642561.06999999</v>
      </c>
      <c r="C43" s="38">
        <f>+C42+C41</f>
        <v>164150404.89999998</v>
      </c>
      <c r="D43" s="38">
        <f>+D42+D41</f>
        <v>11492156.170000017</v>
      </c>
      <c r="E43" s="39">
        <f>+D43/C43</f>
        <v>7.0009916679773104E-2</v>
      </c>
    </row>
    <row r="44" spans="1:5" ht="24.75" customHeight="1" thickTop="1" x14ac:dyDescent="0.25">
      <c r="A44" s="24"/>
      <c r="B44" s="40"/>
      <c r="C44" s="40"/>
      <c r="D44" s="40"/>
      <c r="E44" s="37"/>
    </row>
    <row r="45" spans="1:5" ht="18" x14ac:dyDescent="0.25">
      <c r="A45" s="24" t="s">
        <v>616</v>
      </c>
      <c r="B45" s="41">
        <f>+B43+B37</f>
        <v>179258841.13999999</v>
      </c>
      <c r="C45" s="41">
        <f>+C43+C37</f>
        <v>169170025.22999999</v>
      </c>
      <c r="D45" s="41">
        <f>+B45-C45</f>
        <v>10088815.909999996</v>
      </c>
      <c r="E45" s="42">
        <f>+D45/C45</f>
        <v>5.9637136639800435E-2</v>
      </c>
    </row>
    <row r="46" spans="1:5" x14ac:dyDescent="0.25">
      <c r="B46" s="2"/>
      <c r="C46" s="2"/>
      <c r="D46" s="2"/>
    </row>
  </sheetData>
  <mergeCells count="8">
    <mergeCell ref="A27:E27"/>
    <mergeCell ref="A28:E28"/>
    <mergeCell ref="A2:E2"/>
    <mergeCell ref="A3:E3"/>
    <mergeCell ref="A4:E4"/>
    <mergeCell ref="A5:E5"/>
    <mergeCell ref="A25:E25"/>
    <mergeCell ref="A26:E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34"/>
  <sheetViews>
    <sheetView showGridLines="0" workbookViewId="0">
      <selection activeCell="C6" sqref="C6"/>
    </sheetView>
  </sheetViews>
  <sheetFormatPr baseColWidth="10" defaultRowHeight="15" x14ac:dyDescent="0.25"/>
  <cols>
    <col min="1" max="1" width="51" bestFit="1" customWidth="1"/>
    <col min="2" max="3" width="20.85546875" bestFit="1" customWidth="1"/>
    <col min="4" max="4" width="20.140625" bestFit="1" customWidth="1"/>
    <col min="5" max="5" width="13.7109375" customWidth="1"/>
  </cols>
  <sheetData>
    <row r="2" spans="1:5" ht="18" x14ac:dyDescent="0.25">
      <c r="A2" s="243" t="s">
        <v>0</v>
      </c>
      <c r="B2" s="243"/>
      <c r="C2" s="243"/>
      <c r="D2" s="243"/>
      <c r="E2" s="243"/>
    </row>
    <row r="3" spans="1:5" ht="18" x14ac:dyDescent="0.25">
      <c r="A3" s="243" t="s">
        <v>631</v>
      </c>
      <c r="B3" s="243"/>
      <c r="C3" s="243"/>
      <c r="D3" s="243"/>
      <c r="E3" s="243"/>
    </row>
    <row r="4" spans="1:5" ht="18" x14ac:dyDescent="0.25">
      <c r="A4" s="242" t="s">
        <v>693</v>
      </c>
      <c r="B4" s="242"/>
      <c r="C4" s="242"/>
      <c r="D4" s="242"/>
      <c r="E4" s="242"/>
    </row>
    <row r="5" spans="1:5" ht="18" x14ac:dyDescent="0.25">
      <c r="A5" s="242" t="s">
        <v>588</v>
      </c>
      <c r="B5" s="242"/>
      <c r="C5" s="242"/>
      <c r="D5" s="242"/>
      <c r="E5" s="242"/>
    </row>
    <row r="6" spans="1:5" ht="36" x14ac:dyDescent="0.25">
      <c r="A6" s="25"/>
      <c r="B6" s="26">
        <v>2022</v>
      </c>
      <c r="C6" s="26">
        <v>2021</v>
      </c>
      <c r="D6" s="27" t="s">
        <v>589</v>
      </c>
      <c r="E6" s="27" t="s">
        <v>590</v>
      </c>
    </row>
    <row r="7" spans="1:5" ht="18" x14ac:dyDescent="0.25">
      <c r="A7" s="32" t="s">
        <v>617</v>
      </c>
      <c r="B7" s="25"/>
      <c r="C7" s="25"/>
      <c r="D7" s="25"/>
      <c r="E7" s="25"/>
    </row>
    <row r="8" spans="1:5" ht="7.5" customHeight="1" x14ac:dyDescent="0.25">
      <c r="A8" s="24"/>
      <c r="B8" s="25"/>
      <c r="C8" s="25"/>
      <c r="D8" s="25"/>
      <c r="E8" s="25"/>
    </row>
    <row r="9" spans="1:5" ht="18" x14ac:dyDescent="0.25">
      <c r="A9" s="25" t="s">
        <v>297</v>
      </c>
      <c r="B9" s="28">
        <v>8908690.3699999992</v>
      </c>
      <c r="C9" s="28">
        <v>10737339.66</v>
      </c>
      <c r="D9" s="28">
        <f t="shared" ref="D9:D14" si="0">+B9-C9</f>
        <v>-1828649.290000001</v>
      </c>
      <c r="E9" s="30">
        <f t="shared" ref="E9:E14" si="1">+D9/C9</f>
        <v>-0.17030748284999311</v>
      </c>
    </row>
    <row r="10" spans="1:5" ht="36" x14ac:dyDescent="0.25">
      <c r="A10" s="43" t="s">
        <v>618</v>
      </c>
      <c r="B10" s="44">
        <v>780830.73</v>
      </c>
      <c r="C10" s="44">
        <v>1459467.33</v>
      </c>
      <c r="D10" s="44">
        <f t="shared" si="0"/>
        <v>-678636.60000000009</v>
      </c>
      <c r="E10" s="45">
        <f t="shared" si="1"/>
        <v>-0.46498923686082105</v>
      </c>
    </row>
    <row r="11" spans="1:5" ht="18" x14ac:dyDescent="0.25">
      <c r="A11" s="43" t="s">
        <v>630</v>
      </c>
      <c r="B11" s="44">
        <v>3094.72</v>
      </c>
      <c r="C11" s="44">
        <v>2.61</v>
      </c>
      <c r="D11" s="44">
        <f t="shared" si="0"/>
        <v>3092.1099999999997</v>
      </c>
      <c r="E11" s="45">
        <f t="shared" si="1"/>
        <v>1184.7164750957854</v>
      </c>
    </row>
    <row r="12" spans="1:5" ht="18" x14ac:dyDescent="0.25">
      <c r="A12" s="43" t="s">
        <v>674</v>
      </c>
      <c r="B12" s="44"/>
      <c r="C12" s="44">
        <v>0</v>
      </c>
      <c r="D12" s="44">
        <f t="shared" si="0"/>
        <v>0</v>
      </c>
      <c r="E12" s="45">
        <v>1</v>
      </c>
    </row>
    <row r="13" spans="1:5" ht="18" x14ac:dyDescent="0.25">
      <c r="A13" s="25" t="s">
        <v>619</v>
      </c>
      <c r="B13" s="28">
        <v>6477786.9400000004</v>
      </c>
      <c r="C13" s="28">
        <v>11801235.439999999</v>
      </c>
      <c r="D13" s="44">
        <f t="shared" si="0"/>
        <v>-5323448.4999999991</v>
      </c>
      <c r="E13" s="45">
        <f t="shared" si="1"/>
        <v>-0.45109247477228531</v>
      </c>
    </row>
    <row r="14" spans="1:5" ht="20.25" customHeight="1" x14ac:dyDescent="0.25">
      <c r="A14" s="25" t="s">
        <v>661</v>
      </c>
      <c r="B14" s="28">
        <v>1800077.15</v>
      </c>
      <c r="C14" s="28">
        <v>174135.91</v>
      </c>
      <c r="D14" s="28">
        <f t="shared" si="0"/>
        <v>1625941.24</v>
      </c>
      <c r="E14" s="30">
        <f t="shared" si="1"/>
        <v>9.3371966758608256</v>
      </c>
    </row>
    <row r="15" spans="1:5" ht="18.75" thickBot="1" x14ac:dyDescent="0.3">
      <c r="A15" s="24" t="s">
        <v>620</v>
      </c>
      <c r="B15" s="33">
        <f>SUM(B9:B14)</f>
        <v>17970479.91</v>
      </c>
      <c r="C15" s="33">
        <f>SUM(C9:C14)</f>
        <v>24172180.949999999</v>
      </c>
      <c r="D15" s="33">
        <f>SUM(D9:D14)</f>
        <v>-6201701.04</v>
      </c>
      <c r="E15" s="34">
        <f>+D15/C15</f>
        <v>-0.25656357003235158</v>
      </c>
    </row>
    <row r="16" spans="1:5" ht="16.5" customHeight="1" thickTop="1" x14ac:dyDescent="0.25">
      <c r="A16" s="25"/>
      <c r="B16" s="28"/>
      <c r="C16" s="28"/>
      <c r="D16" s="28"/>
      <c r="E16" s="25"/>
    </row>
    <row r="17" spans="1:5" ht="18" x14ac:dyDescent="0.25">
      <c r="A17" s="24" t="s">
        <v>621</v>
      </c>
      <c r="B17" s="28"/>
      <c r="C17" s="28"/>
      <c r="D17" s="28"/>
      <c r="E17" s="25"/>
    </row>
    <row r="18" spans="1:5" ht="10.5" customHeight="1" x14ac:dyDescent="0.25">
      <c r="A18" s="24"/>
      <c r="B18" s="28"/>
      <c r="C18" s="28"/>
      <c r="D18" s="28"/>
      <c r="E18" s="25"/>
    </row>
    <row r="19" spans="1:5" ht="18" x14ac:dyDescent="0.25">
      <c r="A19" s="25" t="s">
        <v>622</v>
      </c>
      <c r="B19" s="28">
        <v>1795793.47</v>
      </c>
      <c r="C19" s="28">
        <v>1855149.02</v>
      </c>
      <c r="D19" s="28">
        <f t="shared" ref="D19:D29" si="2">+B19-C19</f>
        <v>-59355.550000000047</v>
      </c>
      <c r="E19" s="30">
        <f>+D19/C19</f>
        <v>-3.1995030781947667E-2</v>
      </c>
    </row>
    <row r="20" spans="1:5" ht="18" x14ac:dyDescent="0.25">
      <c r="A20" s="25" t="s">
        <v>623</v>
      </c>
      <c r="B20" s="28">
        <v>3516826.24</v>
      </c>
      <c r="C20" s="28">
        <v>2074227.94</v>
      </c>
      <c r="D20" s="28">
        <f t="shared" si="2"/>
        <v>1442598.3000000003</v>
      </c>
      <c r="E20" s="30">
        <f t="shared" ref="E20:E33" si="3">+D20/C20</f>
        <v>0.6954868711295058</v>
      </c>
    </row>
    <row r="21" spans="1:5" ht="18" x14ac:dyDescent="0.25">
      <c r="A21" s="25" t="s">
        <v>624</v>
      </c>
      <c r="B21" s="28">
        <v>19369063.390000001</v>
      </c>
      <c r="C21" s="28">
        <v>6175625.0800000001</v>
      </c>
      <c r="D21" s="28">
        <f t="shared" si="2"/>
        <v>13193438.310000001</v>
      </c>
      <c r="E21" s="30">
        <f t="shared" si="3"/>
        <v>2.136372940243322</v>
      </c>
    </row>
    <row r="22" spans="1:5" ht="18" x14ac:dyDescent="0.25">
      <c r="A22" s="43" t="s">
        <v>684</v>
      </c>
      <c r="B22" s="28">
        <v>135368.65</v>
      </c>
      <c r="C22" s="28">
        <v>118968.44</v>
      </c>
      <c r="D22" s="28">
        <f t="shared" si="2"/>
        <v>16400.209999999992</v>
      </c>
      <c r="E22" s="30">
        <f t="shared" si="3"/>
        <v>0.13785345088159509</v>
      </c>
    </row>
    <row r="23" spans="1:5" ht="18" x14ac:dyDescent="0.25">
      <c r="A23" s="43" t="s">
        <v>685</v>
      </c>
      <c r="B23" s="28">
        <v>474714.06</v>
      </c>
      <c r="C23" s="28">
        <v>4612.84</v>
      </c>
      <c r="D23" s="28">
        <f t="shared" si="2"/>
        <v>470101.22</v>
      </c>
      <c r="E23" s="30">
        <f t="shared" si="3"/>
        <v>101.91145151360115</v>
      </c>
    </row>
    <row r="24" spans="1:5" ht="36" hidden="1" x14ac:dyDescent="0.25">
      <c r="A24" s="43" t="s">
        <v>655</v>
      </c>
      <c r="B24" s="28">
        <v>0</v>
      </c>
      <c r="C24" s="28">
        <v>0</v>
      </c>
      <c r="D24" s="28">
        <f t="shared" si="2"/>
        <v>0</v>
      </c>
      <c r="E24" s="30"/>
    </row>
    <row r="25" spans="1:5" ht="18" hidden="1" x14ac:dyDescent="0.25">
      <c r="A25" s="25" t="s">
        <v>625</v>
      </c>
      <c r="B25" s="28">
        <v>0</v>
      </c>
      <c r="C25" s="28">
        <v>0</v>
      </c>
      <c r="D25" s="28">
        <f t="shared" si="2"/>
        <v>0</v>
      </c>
      <c r="E25" s="30"/>
    </row>
    <row r="26" spans="1:5" ht="18" x14ac:dyDescent="0.25">
      <c r="A26" s="25" t="s">
        <v>619</v>
      </c>
      <c r="B26" s="28">
        <v>1433960.86</v>
      </c>
      <c r="C26" s="28">
        <v>1127910.2</v>
      </c>
      <c r="D26" s="28">
        <f t="shared" si="2"/>
        <v>306050.66000000015</v>
      </c>
      <c r="E26" s="30">
        <f t="shared" si="3"/>
        <v>0.27134310869783795</v>
      </c>
    </row>
    <row r="27" spans="1:5" ht="18" x14ac:dyDescent="0.25">
      <c r="A27" s="25" t="s">
        <v>642</v>
      </c>
      <c r="B27" s="28">
        <v>1942717.97</v>
      </c>
      <c r="C27" s="28">
        <v>40744.94</v>
      </c>
      <c r="D27" s="28">
        <f t="shared" ref="D27" si="4">+B27-C27</f>
        <v>1901973.03</v>
      </c>
      <c r="E27" s="30">
        <f t="shared" si="3"/>
        <v>46.679981121582209</v>
      </c>
    </row>
    <row r="28" spans="1:5" ht="36" x14ac:dyDescent="0.25">
      <c r="A28" s="43" t="s">
        <v>626</v>
      </c>
      <c r="B28" s="28">
        <v>56285.16</v>
      </c>
      <c r="C28" s="28">
        <v>26312.959999999999</v>
      </c>
      <c r="D28" s="28">
        <f t="shared" si="2"/>
        <v>29972.200000000004</v>
      </c>
      <c r="E28" s="30">
        <f t="shared" si="3"/>
        <v>1.1390660723841028</v>
      </c>
    </row>
    <row r="29" spans="1:5" ht="18" x14ac:dyDescent="0.25">
      <c r="A29" s="25" t="s">
        <v>627</v>
      </c>
      <c r="B29" s="28">
        <v>84.48</v>
      </c>
      <c r="C29" s="28">
        <v>200.15</v>
      </c>
      <c r="D29" s="28">
        <f t="shared" si="2"/>
        <v>-115.67</v>
      </c>
      <c r="E29" s="30">
        <f t="shared" si="3"/>
        <v>-0.57791656257806645</v>
      </c>
    </row>
    <row r="30" spans="1:5" ht="12" customHeight="1" x14ac:dyDescent="0.25">
      <c r="A30" s="25"/>
      <c r="B30" s="28"/>
      <c r="C30" s="28"/>
      <c r="D30" s="28"/>
      <c r="E30" s="30"/>
    </row>
    <row r="31" spans="1:5" ht="18.75" thickBot="1" x14ac:dyDescent="0.3">
      <c r="A31" s="24" t="s">
        <v>628</v>
      </c>
      <c r="B31" s="33">
        <f>SUM(B19:B29)</f>
        <v>28724814.279999997</v>
      </c>
      <c r="C31" s="33">
        <f>SUM(C19:C29)</f>
        <v>11423751.569999998</v>
      </c>
      <c r="D31" s="33">
        <f>SUM(D19:D29)</f>
        <v>17301062.710000001</v>
      </c>
      <c r="E31" s="37">
        <f t="shared" si="3"/>
        <v>1.5144817010407032</v>
      </c>
    </row>
    <row r="32" spans="1:5" ht="18.75" thickTop="1" x14ac:dyDescent="0.25">
      <c r="A32" s="24"/>
      <c r="B32" s="40"/>
      <c r="C32" s="40"/>
      <c r="D32" s="40"/>
      <c r="E32" s="37"/>
    </row>
    <row r="33" spans="1:5" ht="36" x14ac:dyDescent="0.25">
      <c r="A33" s="46" t="s">
        <v>629</v>
      </c>
      <c r="B33" s="41">
        <f>+B15-B31</f>
        <v>-10754334.369999997</v>
      </c>
      <c r="C33" s="41">
        <f>+C15-C31</f>
        <v>12748429.380000001</v>
      </c>
      <c r="D33" s="41">
        <f>-C33+B33</f>
        <v>-23502763.75</v>
      </c>
      <c r="E33" s="37">
        <f t="shared" si="3"/>
        <v>-1.8435811227751413</v>
      </c>
    </row>
    <row r="34" spans="1:5" ht="18" x14ac:dyDescent="0.25">
      <c r="A34" s="25"/>
      <c r="B34" s="28"/>
      <c r="C34" s="28"/>
      <c r="D34" s="28"/>
      <c r="E34" s="25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5:D34"/>
  <sheetViews>
    <sheetView workbookViewId="0">
      <selection activeCell="O15" sqref="O15"/>
    </sheetView>
  </sheetViews>
  <sheetFormatPr baseColWidth="10" defaultRowHeight="15" x14ac:dyDescent="0.25"/>
  <cols>
    <col min="2" max="2" width="15.28515625" customWidth="1"/>
    <col min="3" max="3" width="17.28515625" bestFit="1" customWidth="1"/>
    <col min="4" max="4" width="12.140625" customWidth="1"/>
  </cols>
  <sheetData>
    <row r="5" spans="2:4" ht="47.25" x14ac:dyDescent="0.25">
      <c r="B5" s="49" t="s">
        <v>632</v>
      </c>
      <c r="C5" s="49" t="s">
        <v>633</v>
      </c>
      <c r="D5" s="49" t="s">
        <v>634</v>
      </c>
    </row>
    <row r="6" spans="2:4" ht="15.75" x14ac:dyDescent="0.25">
      <c r="B6" s="50" t="s">
        <v>635</v>
      </c>
      <c r="C6" s="103">
        <v>34300000000</v>
      </c>
      <c r="D6" s="51">
        <f>+C6/C8</f>
        <v>0.41829268292682925</v>
      </c>
    </row>
    <row r="7" spans="2:4" ht="15.75" x14ac:dyDescent="0.25">
      <c r="B7" s="52" t="s">
        <v>636</v>
      </c>
      <c r="C7" s="104">
        <v>47700000000</v>
      </c>
      <c r="D7" s="53">
        <f>+C7/C8</f>
        <v>0.58170731707317069</v>
      </c>
    </row>
    <row r="8" spans="2:4" ht="31.5" x14ac:dyDescent="0.25">
      <c r="B8" s="54" t="s">
        <v>44</v>
      </c>
      <c r="C8" s="106">
        <f>SUM(C6:C7)</f>
        <v>82000000000</v>
      </c>
      <c r="D8" s="55">
        <f>+D6+D7</f>
        <v>1</v>
      </c>
    </row>
    <row r="17" spans="2:4" ht="47.25" x14ac:dyDescent="0.25">
      <c r="B17" s="49" t="s">
        <v>632</v>
      </c>
      <c r="C17" s="49" t="s">
        <v>633</v>
      </c>
      <c r="D17" s="49" t="s">
        <v>634</v>
      </c>
    </row>
    <row r="18" spans="2:4" ht="15.75" x14ac:dyDescent="0.25">
      <c r="B18" s="52" t="s">
        <v>636</v>
      </c>
      <c r="C18" s="105">
        <v>5169564.49</v>
      </c>
      <c r="D18" s="53">
        <f>+C18/C19</f>
        <v>1</v>
      </c>
    </row>
    <row r="19" spans="2:4" ht="31.5" x14ac:dyDescent="0.25">
      <c r="B19" s="54" t="s">
        <v>44</v>
      </c>
      <c r="C19" s="107">
        <f>SUM(C18:C18)</f>
        <v>5169564.49</v>
      </c>
      <c r="D19" s="55">
        <f>+D18</f>
        <v>1</v>
      </c>
    </row>
    <row r="31" spans="2:4" ht="47.25" x14ac:dyDescent="0.25">
      <c r="B31" s="49" t="s">
        <v>632</v>
      </c>
      <c r="C31" s="49" t="s">
        <v>633</v>
      </c>
      <c r="D31" s="49" t="s">
        <v>634</v>
      </c>
    </row>
    <row r="32" spans="2:4" ht="15.75" x14ac:dyDescent="0.25">
      <c r="B32" s="50" t="s">
        <v>662</v>
      </c>
      <c r="C32" s="103">
        <v>82000000000</v>
      </c>
      <c r="D32" s="51">
        <f>+C32/C34</f>
        <v>0.96487075959752144</v>
      </c>
    </row>
    <row r="33" spans="2:4" ht="15.75" x14ac:dyDescent="0.25">
      <c r="B33" s="52" t="s">
        <v>663</v>
      </c>
      <c r="C33" s="104">
        <f>5169564.49*577.51</f>
        <v>2985475188.6199002</v>
      </c>
      <c r="D33" s="53">
        <f>+C33/C34</f>
        <v>3.5129240402478501E-2</v>
      </c>
    </row>
    <row r="34" spans="2:4" ht="31.5" x14ac:dyDescent="0.25">
      <c r="B34" s="54" t="s">
        <v>44</v>
      </c>
      <c r="C34" s="106">
        <f>SUM(C32:C33)</f>
        <v>84985475188.619904</v>
      </c>
      <c r="D34" s="55">
        <f>+D32+D33</f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C9"/>
  <sheetViews>
    <sheetView workbookViewId="0">
      <selection activeCell="B7" sqref="B7"/>
    </sheetView>
  </sheetViews>
  <sheetFormatPr baseColWidth="10" defaultRowHeight="15" x14ac:dyDescent="0.25"/>
  <cols>
    <col min="1" max="1" width="16.28515625" customWidth="1"/>
    <col min="2" max="2" width="19.7109375" bestFit="1" customWidth="1"/>
    <col min="3" max="3" width="13.28515625" customWidth="1"/>
  </cols>
  <sheetData>
    <row r="6" spans="1:3" ht="31.5" x14ac:dyDescent="0.25">
      <c r="A6" s="49" t="s">
        <v>632</v>
      </c>
      <c r="B6" s="49" t="s">
        <v>633</v>
      </c>
      <c r="C6" s="49" t="s">
        <v>634</v>
      </c>
    </row>
    <row r="7" spans="1:3" ht="15.75" x14ac:dyDescent="0.25">
      <c r="A7" s="50" t="s">
        <v>635</v>
      </c>
      <c r="B7" s="56">
        <f>43175000000</f>
        <v>43175000000</v>
      </c>
      <c r="C7" s="51">
        <f>+B7/B9</f>
        <v>0.50846549412423514</v>
      </c>
    </row>
    <row r="8" spans="1:3" ht="15.75" x14ac:dyDescent="0.25">
      <c r="A8" s="52" t="s">
        <v>636</v>
      </c>
      <c r="B8" s="57">
        <f>41737350000</f>
        <v>41737350000</v>
      </c>
      <c r="C8" s="53">
        <f>+B8/B9</f>
        <v>0.49153450587576486</v>
      </c>
    </row>
    <row r="9" spans="1:3" ht="15.75" x14ac:dyDescent="0.25">
      <c r="A9" s="54" t="s">
        <v>44</v>
      </c>
      <c r="B9" s="58">
        <f>SUM(B7:B8)</f>
        <v>84912350000</v>
      </c>
      <c r="C9" s="55">
        <f>+C7+C8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3"/>
  <sheetViews>
    <sheetView workbookViewId="0">
      <selection activeCell="D1" sqref="D1:D1048576"/>
    </sheetView>
  </sheetViews>
  <sheetFormatPr baseColWidth="10" defaultRowHeight="15" x14ac:dyDescent="0.25"/>
  <cols>
    <col min="1" max="1" width="31.7109375" customWidth="1"/>
    <col min="2" max="2" width="1.5703125" hidden="1" customWidth="1"/>
    <col min="3" max="3" width="17.85546875" bestFit="1" customWidth="1"/>
    <col min="4" max="4" width="14" hidden="1" customWidth="1"/>
    <col min="5" max="5" width="13" customWidth="1"/>
  </cols>
  <sheetData>
    <row r="1" spans="1:7" x14ac:dyDescent="0.25">
      <c r="A1" t="s">
        <v>0</v>
      </c>
    </row>
    <row r="2" spans="1:7" x14ac:dyDescent="0.25">
      <c r="A2" t="s">
        <v>3</v>
      </c>
    </row>
    <row r="3" spans="1:7" x14ac:dyDescent="0.25">
      <c r="A3" t="s">
        <v>687</v>
      </c>
    </row>
    <row r="5" spans="1:7" ht="37.5" x14ac:dyDescent="0.3">
      <c r="A5" s="90" t="s">
        <v>4</v>
      </c>
      <c r="B5" s="90" t="s">
        <v>9</v>
      </c>
      <c r="C5" s="90" t="s">
        <v>10</v>
      </c>
      <c r="D5" s="90" t="s">
        <v>678</v>
      </c>
      <c r="E5" s="91" t="s">
        <v>11</v>
      </c>
    </row>
    <row r="6" spans="1:7" ht="18.75" x14ac:dyDescent="0.3">
      <c r="A6" s="92" t="s">
        <v>5</v>
      </c>
      <c r="B6" s="93">
        <v>3710638000</v>
      </c>
      <c r="C6" s="123">
        <f>825410226.72+36455025.73</f>
        <v>861865252.45000005</v>
      </c>
      <c r="D6" s="123"/>
      <c r="E6" s="95">
        <f>+C6/+(C13+D13)</f>
        <v>0.81471797106251809</v>
      </c>
    </row>
    <row r="7" spans="1:7" ht="18.75" x14ac:dyDescent="0.3">
      <c r="A7" s="92" t="s">
        <v>6</v>
      </c>
      <c r="B7" s="93">
        <v>1550460687.9200001</v>
      </c>
      <c r="C7" s="123">
        <v>164192902.33000001</v>
      </c>
      <c r="D7" s="123"/>
      <c r="E7" s="95">
        <f>(+C7+D7)/+(C13+D13)</f>
        <v>0.1552109310230306</v>
      </c>
    </row>
    <row r="8" spans="1:7" ht="18.75" x14ac:dyDescent="0.3">
      <c r="A8" s="92" t="s">
        <v>7</v>
      </c>
      <c r="B8" s="93">
        <v>440223247.63999999</v>
      </c>
      <c r="C8" s="123">
        <v>9063134.25</v>
      </c>
      <c r="D8" s="123"/>
      <c r="E8" s="95">
        <f>(+C8+D8)/+(C13+D13)</f>
        <v>8.5673466085762449E-3</v>
      </c>
    </row>
    <row r="9" spans="1:7" ht="18.75" x14ac:dyDescent="0.3">
      <c r="A9" s="92" t="s">
        <v>8</v>
      </c>
      <c r="B9" s="93">
        <v>800951422.00999999</v>
      </c>
      <c r="C9" s="123">
        <v>121900</v>
      </c>
      <c r="D9" s="123"/>
      <c r="E9" s="95">
        <f>(+C9+D9)/(C13+D13)</f>
        <v>1.152316100344033E-4</v>
      </c>
    </row>
    <row r="10" spans="1:7" ht="18.75" x14ac:dyDescent="0.3">
      <c r="A10" s="92" t="s">
        <v>12</v>
      </c>
      <c r="B10" s="93">
        <v>138218160.97999999</v>
      </c>
      <c r="C10" s="123">
        <v>22626261.579999998</v>
      </c>
      <c r="D10" s="123"/>
      <c r="E10" s="95">
        <f>+C10/C13</f>
        <v>2.138851969584054E-2</v>
      </c>
      <c r="G10">
        <v>15</v>
      </c>
    </row>
    <row r="11" spans="1:7" ht="18.75" x14ac:dyDescent="0.3">
      <c r="A11" s="92" t="s">
        <v>13</v>
      </c>
      <c r="B11" s="93">
        <f>1009384493.81+524538987.64</f>
        <v>1533923481.4499998</v>
      </c>
      <c r="C11" s="108">
        <v>0</v>
      </c>
      <c r="D11" s="108"/>
      <c r="E11" s="95">
        <f>+C11/C13</f>
        <v>0</v>
      </c>
    </row>
    <row r="12" spans="1:7" ht="18.75" x14ac:dyDescent="0.3">
      <c r="A12" s="92" t="s">
        <v>649</v>
      </c>
      <c r="B12" s="93">
        <v>8000000</v>
      </c>
      <c r="C12" s="94">
        <v>0</v>
      </c>
      <c r="D12" s="94"/>
      <c r="E12" s="95"/>
    </row>
    <row r="13" spans="1:7" ht="18.75" x14ac:dyDescent="0.3">
      <c r="A13" s="96" t="s">
        <v>44</v>
      </c>
      <c r="B13" s="97">
        <f>SUM(B6:B12)</f>
        <v>8182415000</v>
      </c>
      <c r="C13" s="98">
        <f>SUM(C6:C12)</f>
        <v>1057869450.6100001</v>
      </c>
      <c r="D13" s="98">
        <f>SUM(D6:D12)</f>
        <v>0</v>
      </c>
      <c r="E13" s="99">
        <f t="shared" ref="E13" si="0">SUM(E6:E11)</f>
        <v>0.99999999999999989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17"/>
  <sheetViews>
    <sheetView showGridLines="0" workbookViewId="0">
      <selection activeCell="B10" sqref="B10"/>
    </sheetView>
  </sheetViews>
  <sheetFormatPr baseColWidth="10" defaultRowHeight="15" x14ac:dyDescent="0.25"/>
  <cols>
    <col min="1" max="1" width="32.28515625" customWidth="1"/>
    <col min="2" max="2" width="9.140625" bestFit="1" customWidth="1"/>
    <col min="3" max="3" width="12.28515625" customWidth="1"/>
    <col min="4" max="4" width="11.42578125" customWidth="1"/>
  </cols>
  <sheetData>
    <row r="1" spans="1:4" x14ac:dyDescent="0.25">
      <c r="A1" t="s">
        <v>0</v>
      </c>
    </row>
    <row r="2" spans="1:4" x14ac:dyDescent="0.25">
      <c r="A2" t="s">
        <v>672</v>
      </c>
    </row>
    <row r="3" spans="1:4" x14ac:dyDescent="0.25">
      <c r="A3" t="s">
        <v>688</v>
      </c>
    </row>
    <row r="4" spans="1:4" ht="18.75" x14ac:dyDescent="0.3">
      <c r="A4" s="100" t="s">
        <v>4</v>
      </c>
      <c r="B4" s="100">
        <v>2020</v>
      </c>
      <c r="C4" s="100">
        <v>2021</v>
      </c>
      <c r="D4" s="100">
        <v>2022</v>
      </c>
    </row>
    <row r="5" spans="1:4" ht="18.75" x14ac:dyDescent="0.3">
      <c r="A5" s="92" t="s">
        <v>5</v>
      </c>
      <c r="B5" s="94">
        <v>839899928.70000005</v>
      </c>
      <c r="C5" s="94">
        <f>811164016.55+58179616.13</f>
        <v>869343632.67999995</v>
      </c>
      <c r="D5" s="94">
        <f>+'Peso de egresos por Partida'!C6</f>
        <v>861865252.45000005</v>
      </c>
    </row>
    <row r="6" spans="1:4" ht="18.75" x14ac:dyDescent="0.3">
      <c r="A6" s="92" t="s">
        <v>6</v>
      </c>
      <c r="B6" s="94">
        <v>246877240.12</v>
      </c>
      <c r="C6" s="94">
        <v>163868430.36000001</v>
      </c>
      <c r="D6" s="94">
        <f>+'Peso de egresos por Partida'!D7+'Peso de egresos por Partida'!C7</f>
        <v>164192902.33000001</v>
      </c>
    </row>
    <row r="7" spans="1:4" ht="18.75" x14ac:dyDescent="0.3">
      <c r="A7" s="92" t="s">
        <v>7</v>
      </c>
      <c r="B7" s="94">
        <v>32902529.98</v>
      </c>
      <c r="C7" s="94">
        <v>3662976.17</v>
      </c>
      <c r="D7" s="94">
        <f>+'Peso de egresos por Partida'!D8+'Peso de egresos por Partida'!C8</f>
        <v>9063134.25</v>
      </c>
    </row>
    <row r="8" spans="1:4" ht="18.75" x14ac:dyDescent="0.3">
      <c r="A8" s="92" t="s">
        <v>8</v>
      </c>
      <c r="B8" s="94">
        <v>34194310.520000003</v>
      </c>
      <c r="C8" s="94">
        <v>6224151.3099999996</v>
      </c>
      <c r="D8" s="94">
        <f>+'Peso de egresos por Partida'!D9+'Peso de egresos por Partida'!C9</f>
        <v>121900</v>
      </c>
    </row>
    <row r="9" spans="1:4" ht="18.75" x14ac:dyDescent="0.3">
      <c r="A9" s="92" t="s">
        <v>12</v>
      </c>
      <c r="B9" s="94">
        <v>17109526.670000002</v>
      </c>
      <c r="C9" s="94">
        <v>50105059.600000001</v>
      </c>
      <c r="D9" s="94">
        <f>+'Peso de egresos por Partida'!C10</f>
        <v>22626261.579999998</v>
      </c>
    </row>
    <row r="10" spans="1:4" ht="18.75" x14ac:dyDescent="0.3">
      <c r="A10" s="92" t="s">
        <v>13</v>
      </c>
      <c r="B10" s="94"/>
      <c r="C10" s="94"/>
      <c r="D10" s="94">
        <v>0</v>
      </c>
    </row>
    <row r="11" spans="1:4" ht="18.75" x14ac:dyDescent="0.3">
      <c r="A11" s="96" t="s">
        <v>44</v>
      </c>
      <c r="B11" s="98">
        <f>SUM(B5:B10)</f>
        <v>1170983535.9900002</v>
      </c>
      <c r="C11" s="98">
        <f>SUM(C5:C10)</f>
        <v>1093204250.1199999</v>
      </c>
      <c r="D11" s="98">
        <f>SUM(D5:D10)</f>
        <v>1057869450.6100001</v>
      </c>
    </row>
    <row r="14" spans="1:4" x14ac:dyDescent="0.25">
      <c r="C14" s="7" t="s">
        <v>14</v>
      </c>
      <c r="D14" s="7" t="s">
        <v>15</v>
      </c>
    </row>
    <row r="15" spans="1:4" x14ac:dyDescent="0.25">
      <c r="B15" s="3"/>
      <c r="C15" s="6">
        <v>2019</v>
      </c>
      <c r="D15" s="48">
        <f>+B11</f>
        <v>1170983535.9900002</v>
      </c>
    </row>
    <row r="16" spans="1:4" x14ac:dyDescent="0.25">
      <c r="B16" s="4"/>
      <c r="C16" s="6">
        <v>2020</v>
      </c>
      <c r="D16" s="48">
        <f>+C11</f>
        <v>1093204250.1199999</v>
      </c>
    </row>
    <row r="17" spans="2:4" x14ac:dyDescent="0.25">
      <c r="B17" s="5"/>
      <c r="C17" s="6">
        <v>2021</v>
      </c>
      <c r="D17" s="48">
        <f>+D11</f>
        <v>1057869450.6100001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28"/>
  <sheetViews>
    <sheetView showGridLines="0" workbookViewId="0">
      <selection activeCell="D6" sqref="D6"/>
    </sheetView>
  </sheetViews>
  <sheetFormatPr baseColWidth="10" defaultRowHeight="15" x14ac:dyDescent="0.25"/>
  <cols>
    <col min="1" max="1" width="38.7109375" customWidth="1"/>
    <col min="2" max="2" width="21.28515625" customWidth="1"/>
    <col min="3" max="3" width="18.28515625" bestFit="1" customWidth="1"/>
    <col min="4" max="4" width="15.7109375" customWidth="1"/>
    <col min="5" max="5" width="15.42578125" customWidth="1"/>
    <col min="6" max="6" width="14" customWidth="1"/>
    <col min="8" max="8" width="16.28515625" bestFit="1" customWidth="1"/>
    <col min="9" max="9" width="14.85546875" bestFit="1" customWidth="1"/>
    <col min="10" max="10" width="14.7109375" bestFit="1" customWidth="1"/>
  </cols>
  <sheetData>
    <row r="1" spans="1:10" ht="21" x14ac:dyDescent="0.35">
      <c r="A1" s="234" t="s">
        <v>39</v>
      </c>
      <c r="B1" s="234"/>
      <c r="C1" s="234"/>
      <c r="D1" s="234"/>
      <c r="E1" s="234"/>
      <c r="F1" s="234"/>
    </row>
    <row r="2" spans="1:10" ht="21.75" thickBot="1" x14ac:dyDescent="0.4">
      <c r="A2" s="234" t="s">
        <v>689</v>
      </c>
      <c r="B2" s="234"/>
      <c r="C2" s="234"/>
      <c r="D2" s="234"/>
      <c r="E2" s="234"/>
      <c r="F2" s="234"/>
    </row>
    <row r="3" spans="1:10" ht="42" x14ac:dyDescent="0.35">
      <c r="A3" s="9" t="s">
        <v>16</v>
      </c>
      <c r="B3" s="9" t="s">
        <v>17</v>
      </c>
      <c r="C3" s="13" t="s">
        <v>677</v>
      </c>
      <c r="D3" s="12" t="s">
        <v>1</v>
      </c>
      <c r="E3" s="12" t="s">
        <v>18</v>
      </c>
      <c r="F3" s="14" t="s">
        <v>2</v>
      </c>
    </row>
    <row r="4" spans="1:10" ht="21" x14ac:dyDescent="0.35">
      <c r="A4" s="10" t="s">
        <v>19</v>
      </c>
      <c r="B4" s="59">
        <v>1070000</v>
      </c>
      <c r="C4" s="60">
        <v>0</v>
      </c>
      <c r="D4" s="60">
        <v>149658.5</v>
      </c>
      <c r="E4" s="60">
        <f>+B4-C4-D4</f>
        <v>920341.5</v>
      </c>
      <c r="F4" s="15">
        <f t="shared" ref="F4:F26" si="0">+D4/B4</f>
        <v>0.13986775700934578</v>
      </c>
    </row>
    <row r="5" spans="1:10" ht="21" x14ac:dyDescent="0.35">
      <c r="A5" s="10" t="s">
        <v>20</v>
      </c>
      <c r="B5" s="59">
        <v>362198342.5</v>
      </c>
      <c r="C5" s="60"/>
      <c r="D5" s="60">
        <v>55673284.899999999</v>
      </c>
      <c r="E5" s="60">
        <f t="shared" ref="E5:E25" si="1">+B5-C5-D5</f>
        <v>306525057.60000002</v>
      </c>
      <c r="F5" s="15">
        <f t="shared" si="0"/>
        <v>0.15370938617699501</v>
      </c>
    </row>
    <row r="6" spans="1:10" ht="21" x14ac:dyDescent="0.35">
      <c r="A6" s="10" t="s">
        <v>21</v>
      </c>
      <c r="B6" s="59">
        <f>5000000+50000000</f>
        <v>55000000</v>
      </c>
      <c r="C6" s="60"/>
      <c r="D6" s="60">
        <v>1178025</v>
      </c>
      <c r="E6" s="60">
        <f t="shared" si="1"/>
        <v>53821975</v>
      </c>
      <c r="F6" s="15">
        <f t="shared" si="0"/>
        <v>2.1418636363636362E-2</v>
      </c>
    </row>
    <row r="7" spans="1:10" ht="42" x14ac:dyDescent="0.35">
      <c r="A7" s="10" t="s">
        <v>22</v>
      </c>
      <c r="B7" s="59">
        <v>1000000</v>
      </c>
      <c r="C7" s="60"/>
      <c r="D7" s="60">
        <v>249750</v>
      </c>
      <c r="E7" s="60">
        <f t="shared" si="1"/>
        <v>750250</v>
      </c>
      <c r="F7" s="15">
        <v>0</v>
      </c>
    </row>
    <row r="8" spans="1:10" ht="21" x14ac:dyDescent="0.35">
      <c r="A8" s="10" t="s">
        <v>23</v>
      </c>
      <c r="B8" s="59">
        <v>1682000</v>
      </c>
      <c r="C8" s="60"/>
      <c r="D8" s="60">
        <v>127560</v>
      </c>
      <c r="E8" s="60">
        <f t="shared" si="1"/>
        <v>1554440</v>
      </c>
      <c r="F8" s="15">
        <f t="shared" si="0"/>
        <v>7.5838287752675385E-2</v>
      </c>
    </row>
    <row r="9" spans="1:10" ht="21" x14ac:dyDescent="0.35">
      <c r="A9" s="10" t="s">
        <v>24</v>
      </c>
      <c r="B9" s="59">
        <v>2457500</v>
      </c>
      <c r="C9" s="60"/>
      <c r="D9" s="60">
        <v>16140</v>
      </c>
      <c r="E9" s="60">
        <f t="shared" si="1"/>
        <v>2441360</v>
      </c>
      <c r="F9" s="15">
        <f t="shared" si="0"/>
        <v>6.5676500508647E-3</v>
      </c>
    </row>
    <row r="10" spans="1:10" ht="21" x14ac:dyDescent="0.35">
      <c r="A10" s="10" t="s">
        <v>25</v>
      </c>
      <c r="B10" s="59">
        <v>0</v>
      </c>
      <c r="C10" s="60"/>
      <c r="D10" s="60">
        <v>0</v>
      </c>
      <c r="E10" s="60">
        <f t="shared" si="1"/>
        <v>0</v>
      </c>
      <c r="F10" s="15">
        <v>0</v>
      </c>
    </row>
    <row r="11" spans="1:10" ht="21" x14ac:dyDescent="0.35">
      <c r="A11" s="10" t="s">
        <v>26</v>
      </c>
      <c r="B11" s="59">
        <v>0</v>
      </c>
      <c r="C11" s="60"/>
      <c r="D11" s="60">
        <v>124320</v>
      </c>
      <c r="E11" s="60">
        <f t="shared" si="1"/>
        <v>-124320</v>
      </c>
      <c r="F11" s="15">
        <v>0</v>
      </c>
    </row>
    <row r="12" spans="1:10" ht="21" x14ac:dyDescent="0.35">
      <c r="A12" s="10" t="s">
        <v>27</v>
      </c>
      <c r="B12" s="59">
        <f>169710000+337220000</f>
        <v>506930000</v>
      </c>
      <c r="C12" s="60"/>
      <c r="D12" s="60">
        <f>2586570.15+2783792.25</f>
        <v>5370362.4000000004</v>
      </c>
      <c r="E12" s="60">
        <f t="shared" si="1"/>
        <v>501559637.60000002</v>
      </c>
      <c r="F12" s="15">
        <f t="shared" si="0"/>
        <v>1.0593893436963684E-2</v>
      </c>
      <c r="H12" s="120"/>
      <c r="I12" s="120"/>
      <c r="J12" s="120"/>
    </row>
    <row r="13" spans="1:10" ht="21" x14ac:dyDescent="0.35">
      <c r="A13" s="10" t="s">
        <v>28</v>
      </c>
      <c r="B13" s="59">
        <v>7910000</v>
      </c>
      <c r="C13" s="60"/>
      <c r="D13" s="60">
        <v>0</v>
      </c>
      <c r="E13" s="60">
        <f t="shared" si="1"/>
        <v>7910000</v>
      </c>
      <c r="F13" s="15">
        <f t="shared" si="0"/>
        <v>0</v>
      </c>
    </row>
    <row r="14" spans="1:10" ht="21" x14ac:dyDescent="0.35">
      <c r="A14" s="10" t="s">
        <v>29</v>
      </c>
      <c r="B14" s="59">
        <v>9810000</v>
      </c>
      <c r="C14" s="60"/>
      <c r="D14" s="60">
        <v>51635.24</v>
      </c>
      <c r="E14" s="60">
        <f t="shared" si="1"/>
        <v>9758364.7599999998</v>
      </c>
      <c r="F14" s="15">
        <f t="shared" si="0"/>
        <v>5.2635310907237507E-3</v>
      </c>
    </row>
    <row r="15" spans="1:10" ht="21" x14ac:dyDescent="0.35">
      <c r="A15" s="10" t="s">
        <v>30</v>
      </c>
      <c r="B15" s="59">
        <f>392389221.48+797454251.03</f>
        <v>1189843472.51</v>
      </c>
      <c r="C15" s="60"/>
      <c r="D15" s="60">
        <f>48841134.07+75754431.88</f>
        <v>124595565.94999999</v>
      </c>
      <c r="E15" s="60">
        <f t="shared" si="1"/>
        <v>1065247906.5599999</v>
      </c>
      <c r="F15" s="15">
        <f t="shared" si="0"/>
        <v>0.10471593014429285</v>
      </c>
      <c r="H15" s="120"/>
      <c r="I15" s="120"/>
      <c r="J15" s="120"/>
    </row>
    <row r="16" spans="1:10" ht="21" x14ac:dyDescent="0.35">
      <c r="A16" s="10" t="s">
        <v>31</v>
      </c>
      <c r="B16" s="59">
        <v>2503616</v>
      </c>
      <c r="C16" s="60"/>
      <c r="D16" s="60">
        <v>431824.13</v>
      </c>
      <c r="E16" s="60">
        <f t="shared" si="1"/>
        <v>2071791.87</v>
      </c>
      <c r="F16" s="15">
        <f t="shared" si="0"/>
        <v>0.17248017667246096</v>
      </c>
    </row>
    <row r="17" spans="1:9" ht="21" x14ac:dyDescent="0.35">
      <c r="A17" s="10" t="s">
        <v>32</v>
      </c>
      <c r="B17" s="59">
        <v>26435510</v>
      </c>
      <c r="C17" s="60"/>
      <c r="D17" s="60">
        <v>423009.24</v>
      </c>
      <c r="E17" s="60">
        <f t="shared" si="1"/>
        <v>26012500.760000002</v>
      </c>
      <c r="F17" s="15">
        <f t="shared" si="0"/>
        <v>1.6001553970398149E-2</v>
      </c>
    </row>
    <row r="18" spans="1:9" ht="42" x14ac:dyDescent="0.35">
      <c r="A18" s="10" t="s">
        <v>643</v>
      </c>
      <c r="B18" s="59">
        <v>2346027371.98</v>
      </c>
      <c r="C18" s="60"/>
      <c r="D18" s="60">
        <v>532964282.5</v>
      </c>
      <c r="E18" s="60">
        <f t="shared" ref="E18" si="2">+B18-C18-D18</f>
        <v>1813063089.48</v>
      </c>
      <c r="F18" s="15">
        <f t="shared" ref="F18" si="3">+D18/B18</f>
        <v>0.22717735047148613</v>
      </c>
    </row>
    <row r="19" spans="1:9" ht="42" x14ac:dyDescent="0.35">
      <c r="A19" s="10" t="s">
        <v>644</v>
      </c>
      <c r="B19" s="59">
        <v>1199543110</v>
      </c>
      <c r="C19" s="60"/>
      <c r="D19" s="60">
        <v>276889862.19999999</v>
      </c>
      <c r="E19" s="60">
        <f t="shared" ref="E19" si="4">+B19-C19-D19</f>
        <v>922653247.79999995</v>
      </c>
      <c r="F19" s="15">
        <f t="shared" ref="F19" si="5">+D19/B19</f>
        <v>0.2308294382183563</v>
      </c>
    </row>
    <row r="20" spans="1:9" ht="42" x14ac:dyDescent="0.35">
      <c r="A20" s="10" t="s">
        <v>33</v>
      </c>
      <c r="B20" s="59">
        <v>28457925</v>
      </c>
      <c r="C20" s="60"/>
      <c r="D20" s="60">
        <v>23022908.469999999</v>
      </c>
      <c r="E20" s="60">
        <f t="shared" si="1"/>
        <v>5435016.5300000012</v>
      </c>
      <c r="F20" s="15">
        <f t="shared" si="0"/>
        <v>0.80901571249484983</v>
      </c>
    </row>
    <row r="21" spans="1:9" ht="21" x14ac:dyDescent="0.35">
      <c r="A21" s="10" t="s">
        <v>34</v>
      </c>
      <c r="B21" s="59">
        <v>50000000</v>
      </c>
      <c r="C21" s="60"/>
      <c r="D21" s="60">
        <v>0</v>
      </c>
      <c r="E21" s="60">
        <f t="shared" si="1"/>
        <v>50000000</v>
      </c>
      <c r="F21" s="15">
        <f t="shared" si="0"/>
        <v>0</v>
      </c>
    </row>
    <row r="22" spans="1:9" ht="42" x14ac:dyDescent="0.35">
      <c r="A22" s="10" t="s">
        <v>43</v>
      </c>
      <c r="B22" s="59">
        <v>87933460.239999995</v>
      </c>
      <c r="C22" s="60"/>
      <c r="D22" s="60">
        <v>1965831.73</v>
      </c>
      <c r="E22" s="60">
        <f t="shared" si="1"/>
        <v>85967628.50999999</v>
      </c>
      <c r="F22" s="15">
        <f>+D22/B22</f>
        <v>2.235590098052077E-2</v>
      </c>
    </row>
    <row r="23" spans="1:9" ht="21" x14ac:dyDescent="0.35">
      <c r="A23" s="10" t="s">
        <v>35</v>
      </c>
      <c r="B23" s="59">
        <v>15394000</v>
      </c>
      <c r="C23" s="60"/>
      <c r="D23" s="60">
        <v>261410</v>
      </c>
      <c r="E23" s="60">
        <f t="shared" si="1"/>
        <v>15132590</v>
      </c>
      <c r="F23" s="15">
        <f t="shared" si="0"/>
        <v>1.6981291412238534E-2</v>
      </c>
    </row>
    <row r="24" spans="1:9" ht="21" x14ac:dyDescent="0.35">
      <c r="A24" s="10" t="s">
        <v>36</v>
      </c>
      <c r="B24" s="59">
        <v>569839692</v>
      </c>
      <c r="C24" s="60"/>
      <c r="D24" s="60">
        <v>34048490.350000001</v>
      </c>
      <c r="E24" s="60">
        <f t="shared" si="1"/>
        <v>535791201.64999998</v>
      </c>
      <c r="F24" s="15">
        <f t="shared" si="0"/>
        <v>5.9750998092986479E-2</v>
      </c>
      <c r="I24" s="120"/>
    </row>
    <row r="25" spans="1:9" ht="42" x14ac:dyDescent="0.35">
      <c r="A25" s="10" t="s">
        <v>37</v>
      </c>
      <c r="B25" s="59">
        <v>11000000</v>
      </c>
      <c r="C25" s="60"/>
      <c r="D25" s="60">
        <v>699600</v>
      </c>
      <c r="E25" s="60">
        <f t="shared" si="1"/>
        <v>10300400</v>
      </c>
      <c r="F25" s="15">
        <f t="shared" si="0"/>
        <v>6.3600000000000004E-2</v>
      </c>
    </row>
    <row r="26" spans="1:9" ht="21.75" thickBot="1" x14ac:dyDescent="0.4">
      <c r="A26" s="11" t="s">
        <v>38</v>
      </c>
      <c r="B26" s="61">
        <f>SUM(B4:B25)</f>
        <v>6475036000.2299995</v>
      </c>
      <c r="C26" s="62">
        <f>SUM(C4:C25)</f>
        <v>0</v>
      </c>
      <c r="D26" s="62">
        <f>SUM(D4:D25)</f>
        <v>1058243520.61</v>
      </c>
      <c r="E26" s="62">
        <f>SUM(E4:E25)</f>
        <v>5416792479.6199999</v>
      </c>
      <c r="F26" s="16">
        <f t="shared" si="0"/>
        <v>0.16343438408256111</v>
      </c>
    </row>
    <row r="28" spans="1:9" x14ac:dyDescent="0.25">
      <c r="B28" s="101"/>
      <c r="D28" s="47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17"/>
  <sheetViews>
    <sheetView showGridLines="0" workbookViewId="0">
      <selection activeCell="D9" sqref="D9"/>
    </sheetView>
  </sheetViews>
  <sheetFormatPr baseColWidth="10" defaultRowHeight="15" x14ac:dyDescent="0.25"/>
  <cols>
    <col min="1" max="1" width="45" customWidth="1"/>
    <col min="2" max="2" width="24.5703125" customWidth="1"/>
    <col min="3" max="3" width="25" hidden="1" customWidth="1"/>
    <col min="4" max="4" width="24" customWidth="1"/>
    <col min="5" max="5" width="21.5703125" hidden="1" customWidth="1"/>
    <col min="6" max="6" width="16.7109375" customWidth="1"/>
  </cols>
  <sheetData>
    <row r="1" spans="1:6" ht="26.25" x14ac:dyDescent="0.4">
      <c r="A1" s="235" t="s">
        <v>39</v>
      </c>
      <c r="B1" s="235"/>
      <c r="C1" s="235"/>
      <c r="D1" s="235"/>
      <c r="E1" s="235"/>
      <c r="F1" s="235"/>
    </row>
    <row r="2" spans="1:6" ht="26.25" x14ac:dyDescent="0.4">
      <c r="A2" s="235" t="s">
        <v>689</v>
      </c>
      <c r="B2" s="235"/>
      <c r="C2" s="235"/>
      <c r="D2" s="235"/>
      <c r="E2" s="235"/>
      <c r="F2" s="235"/>
    </row>
    <row r="3" spans="1:6" ht="51" customHeight="1" x14ac:dyDescent="0.4">
      <c r="A3" s="218" t="s">
        <v>4</v>
      </c>
      <c r="B3" s="218" t="s">
        <v>17</v>
      </c>
      <c r="C3" s="219" t="s">
        <v>677</v>
      </c>
      <c r="D3" s="218" t="s">
        <v>1</v>
      </c>
      <c r="E3" s="218" t="s">
        <v>18</v>
      </c>
      <c r="F3" s="219" t="s">
        <v>2</v>
      </c>
    </row>
    <row r="4" spans="1:6" ht="26.25" x14ac:dyDescent="0.4">
      <c r="A4" s="220" t="s">
        <v>5</v>
      </c>
      <c r="B4" s="226">
        <f>3616373362.48+148676050</f>
        <v>3765049412.48</v>
      </c>
      <c r="C4" s="226"/>
      <c r="D4" s="226">
        <f>+'Peso de egresos por Partida'!C6</f>
        <v>861865252.45000005</v>
      </c>
      <c r="E4" s="221">
        <f>+B4-C4-D4</f>
        <v>2903184160.0299997</v>
      </c>
      <c r="F4" s="222">
        <f>(+D4+C4)/B4</f>
        <v>0.2289120694122041</v>
      </c>
    </row>
    <row r="5" spans="1:6" ht="26.25" x14ac:dyDescent="0.4">
      <c r="A5" s="220" t="s">
        <v>6</v>
      </c>
      <c r="B5" s="226">
        <f>1590823059.75+300000+4000000</f>
        <v>1595123059.75</v>
      </c>
      <c r="C5" s="226">
        <f>+'Peso de egresos por Partida'!D7</f>
        <v>0</v>
      </c>
      <c r="D5" s="226">
        <f>+'Peso de egresos por Partida'!C7</f>
        <v>164192902.33000001</v>
      </c>
      <c r="E5" s="221">
        <f t="shared" ref="E5:E10" si="0">+B5-C5-D5</f>
        <v>1430930157.4200001</v>
      </c>
      <c r="F5" s="222">
        <f>+(D5+C5)/B5</f>
        <v>0.10293431677662135</v>
      </c>
    </row>
    <row r="6" spans="1:6" ht="26.25" x14ac:dyDescent="0.4">
      <c r="A6" s="220" t="s">
        <v>7</v>
      </c>
      <c r="B6" s="226">
        <v>194505010</v>
      </c>
      <c r="C6" s="226">
        <f>+'Peso de egresos por Partida'!D8</f>
        <v>0</v>
      </c>
      <c r="D6" s="226">
        <f>+'Peso de egresos por Partida'!C8</f>
        <v>9063134.25</v>
      </c>
      <c r="E6" s="221">
        <f t="shared" si="0"/>
        <v>185441875.75</v>
      </c>
      <c r="F6" s="222">
        <f t="shared" ref="F6:F11" si="1">+(D6+C6)/B6</f>
        <v>4.6595891026148889E-2</v>
      </c>
    </row>
    <row r="7" spans="1:6" ht="26.25" x14ac:dyDescent="0.4">
      <c r="A7" s="220" t="s">
        <v>8</v>
      </c>
      <c r="B7" s="226">
        <v>786488806</v>
      </c>
      <c r="C7" s="226">
        <f>+'Peso de egresos por Partida'!D9</f>
        <v>0</v>
      </c>
      <c r="D7" s="226">
        <f>+'Peso de egresos por Partida'!C9</f>
        <v>121900</v>
      </c>
      <c r="E7" s="221">
        <f t="shared" si="0"/>
        <v>786366906</v>
      </c>
      <c r="F7" s="222">
        <f t="shared" si="1"/>
        <v>1.549926700418925E-4</v>
      </c>
    </row>
    <row r="8" spans="1:6" ht="26.25" x14ac:dyDescent="0.4">
      <c r="A8" s="220" t="s">
        <v>12</v>
      </c>
      <c r="B8" s="226">
        <v>133869712</v>
      </c>
      <c r="C8" s="226">
        <v>0</v>
      </c>
      <c r="D8" s="226">
        <f>+'Peso de egresos por Partida'!C10</f>
        <v>22626261.579999998</v>
      </c>
      <c r="E8" s="221">
        <f t="shared" si="0"/>
        <v>111243450.42</v>
      </c>
      <c r="F8" s="222">
        <f t="shared" si="1"/>
        <v>0.16901703336748791</v>
      </c>
    </row>
    <row r="9" spans="1:6" ht="26.25" x14ac:dyDescent="0.4">
      <c r="A9" s="220" t="s">
        <v>13</v>
      </c>
      <c r="B9" s="226">
        <v>0</v>
      </c>
      <c r="C9" s="226">
        <v>0</v>
      </c>
      <c r="D9" s="226">
        <f>+'Peso de egresos por Partida'!C11</f>
        <v>0</v>
      </c>
      <c r="E9" s="221">
        <f t="shared" si="0"/>
        <v>0</v>
      </c>
      <c r="F9" s="222"/>
    </row>
    <row r="10" spans="1:6" ht="26.25" x14ac:dyDescent="0.4">
      <c r="A10" s="220" t="s">
        <v>649</v>
      </c>
      <c r="B10" s="226">
        <v>0</v>
      </c>
      <c r="C10" s="226">
        <v>0</v>
      </c>
      <c r="D10" s="226">
        <f>+'Peso de egresos por Partida'!C12</f>
        <v>0</v>
      </c>
      <c r="E10" s="221">
        <f t="shared" si="0"/>
        <v>0</v>
      </c>
      <c r="F10" s="222"/>
    </row>
    <row r="11" spans="1:6" ht="26.25" x14ac:dyDescent="0.4">
      <c r="A11" s="223" t="s">
        <v>38</v>
      </c>
      <c r="B11" s="227">
        <f>SUM(B4:B10)</f>
        <v>6475036000.2299995</v>
      </c>
      <c r="C11" s="227">
        <f t="shared" ref="C11:E11" si="2">SUM(C4:C10)</f>
        <v>0</v>
      </c>
      <c r="D11" s="227">
        <f t="shared" si="2"/>
        <v>1057869450.6100001</v>
      </c>
      <c r="E11" s="224">
        <f t="shared" si="2"/>
        <v>5417166549.6199999</v>
      </c>
      <c r="F11" s="225">
        <f t="shared" si="1"/>
        <v>0.16337661297519018</v>
      </c>
    </row>
    <row r="17" spans="4:4" x14ac:dyDescent="0.25">
      <c r="D17" s="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16"/>
  <sheetViews>
    <sheetView showGridLines="0" workbookViewId="0">
      <selection activeCell="C15" sqref="C15"/>
    </sheetView>
  </sheetViews>
  <sheetFormatPr baseColWidth="10" defaultRowHeight="15" x14ac:dyDescent="0.25"/>
  <cols>
    <col min="1" max="1" width="36.42578125" customWidth="1"/>
    <col min="2" max="2" width="20.140625" customWidth="1"/>
    <col min="3" max="3" width="17" customWidth="1"/>
    <col min="4" max="4" width="24.85546875" customWidth="1"/>
    <col min="5" max="5" width="19.28515625" customWidth="1"/>
    <col min="6" max="7" width="20.7109375" customWidth="1"/>
    <col min="8" max="8" width="16" customWidth="1"/>
  </cols>
  <sheetData>
    <row r="1" spans="1:8" ht="23.25" x14ac:dyDescent="0.35">
      <c r="A1" s="236" t="s">
        <v>42</v>
      </c>
      <c r="B1" s="236"/>
      <c r="C1" s="236"/>
      <c r="D1" s="236"/>
      <c r="E1" s="236"/>
      <c r="F1" s="236"/>
      <c r="G1" s="236"/>
      <c r="H1" s="236"/>
    </row>
    <row r="2" spans="1:8" ht="23.25" x14ac:dyDescent="0.35">
      <c r="A2" s="236" t="s">
        <v>689</v>
      </c>
      <c r="B2" s="236"/>
      <c r="C2" s="236"/>
      <c r="D2" s="236"/>
      <c r="E2" s="236"/>
      <c r="F2" s="236"/>
      <c r="G2" s="236"/>
      <c r="H2" s="236"/>
    </row>
    <row r="3" spans="1:8" ht="86.25" customHeight="1" thickBot="1" x14ac:dyDescent="0.4">
      <c r="A3" s="109" t="s">
        <v>16</v>
      </c>
      <c r="B3" s="110" t="s">
        <v>40</v>
      </c>
      <c r="C3" s="110" t="s">
        <v>23</v>
      </c>
      <c r="D3" s="124" t="s">
        <v>41</v>
      </c>
      <c r="E3" s="111" t="s">
        <v>33</v>
      </c>
      <c r="F3" s="111" t="s">
        <v>647</v>
      </c>
      <c r="G3" s="111" t="s">
        <v>648</v>
      </c>
      <c r="H3" s="110" t="s">
        <v>38</v>
      </c>
    </row>
    <row r="4" spans="1:8" ht="23.25" x14ac:dyDescent="0.35">
      <c r="A4" s="112" t="s">
        <v>5</v>
      </c>
      <c r="B4" s="113">
        <f>123077932.37+6471734.77</f>
        <v>129549667.14</v>
      </c>
      <c r="C4" s="114">
        <v>0</v>
      </c>
      <c r="D4" s="118"/>
      <c r="E4" s="114">
        <v>0</v>
      </c>
      <c r="F4" s="114">
        <f>1282387866.57+65998937.01</f>
        <v>1348386803.5799999</v>
      </c>
      <c r="G4" s="114">
        <f>637008218.45+33265334.4</f>
        <v>670273552.85000002</v>
      </c>
      <c r="H4" s="115">
        <f t="shared" ref="H4:H9" si="0">+B4+C4+D4+E4+F4+G4</f>
        <v>2148210023.5700002</v>
      </c>
    </row>
    <row r="5" spans="1:8" ht="23.25" x14ac:dyDescent="0.35">
      <c r="A5" s="116" t="s">
        <v>6</v>
      </c>
      <c r="B5" s="117">
        <v>2992852</v>
      </c>
      <c r="C5" s="118">
        <v>22755972.77</v>
      </c>
      <c r="D5" s="118">
        <v>408337421.97000003</v>
      </c>
      <c r="E5" s="118">
        <v>238641211.27000001</v>
      </c>
      <c r="F5" s="118"/>
      <c r="G5" s="118"/>
      <c r="H5" s="119">
        <f t="shared" si="0"/>
        <v>672727458.00999999</v>
      </c>
    </row>
    <row r="6" spans="1:8" ht="46.5" x14ac:dyDescent="0.35">
      <c r="A6" s="116" t="s">
        <v>7</v>
      </c>
      <c r="B6" s="117">
        <v>124816</v>
      </c>
      <c r="C6" s="118">
        <v>652446.82999999996</v>
      </c>
      <c r="D6" s="118">
        <v>25381412.440000001</v>
      </c>
      <c r="E6" s="118">
        <v>29154362.039999999</v>
      </c>
      <c r="F6" s="118"/>
      <c r="G6" s="118"/>
      <c r="H6" s="119">
        <f t="shared" si="0"/>
        <v>55313037.310000002</v>
      </c>
    </row>
    <row r="7" spans="1:8" ht="23.25" x14ac:dyDescent="0.35">
      <c r="A7" s="116" t="s">
        <v>8</v>
      </c>
      <c r="B7" s="117">
        <v>0</v>
      </c>
      <c r="C7" s="118">
        <v>96932559.689999998</v>
      </c>
      <c r="D7" s="118">
        <v>3352950.28</v>
      </c>
      <c r="E7" s="118">
        <v>225289939.61000001</v>
      </c>
      <c r="F7" s="118"/>
      <c r="G7" s="118"/>
      <c r="H7" s="119">
        <f t="shared" si="0"/>
        <v>325575449.58000004</v>
      </c>
    </row>
    <row r="8" spans="1:8" ht="46.5" x14ac:dyDescent="0.35">
      <c r="A8" s="116" t="s">
        <v>12</v>
      </c>
      <c r="B8" s="117">
        <v>10496440.84</v>
      </c>
      <c r="C8" s="118">
        <v>0</v>
      </c>
      <c r="D8" s="118">
        <v>0</v>
      </c>
      <c r="E8" s="118">
        <v>29941563.260000002</v>
      </c>
      <c r="F8" s="118">
        <v>35087790.729999997</v>
      </c>
      <c r="G8" s="118">
        <v>7379118.6900000004</v>
      </c>
      <c r="H8" s="119">
        <f t="shared" si="0"/>
        <v>82904913.519999996</v>
      </c>
    </row>
    <row r="9" spans="1:8" ht="46.5" x14ac:dyDescent="0.35">
      <c r="A9" s="116" t="s">
        <v>13</v>
      </c>
      <c r="B9" s="117">
        <v>0</v>
      </c>
      <c r="C9" s="118">
        <v>0</v>
      </c>
      <c r="D9" s="118">
        <v>0</v>
      </c>
      <c r="E9" s="118">
        <v>0</v>
      </c>
      <c r="F9" s="118"/>
      <c r="G9" s="118"/>
      <c r="H9" s="119">
        <f t="shared" si="0"/>
        <v>0</v>
      </c>
    </row>
    <row r="10" spans="1:8" ht="27" thickBot="1" x14ac:dyDescent="0.45">
      <c r="A10" s="8" t="s">
        <v>38</v>
      </c>
      <c r="B10" s="63">
        <f t="shared" ref="B10:H10" si="1">SUM(B4:B9)</f>
        <v>143163775.97999999</v>
      </c>
      <c r="C10" s="64">
        <f t="shared" si="1"/>
        <v>120340979.28999999</v>
      </c>
      <c r="D10" s="64">
        <f t="shared" si="1"/>
        <v>437071784.69</v>
      </c>
      <c r="E10" s="64">
        <f t="shared" si="1"/>
        <v>523027076.18000001</v>
      </c>
      <c r="F10" s="64">
        <f t="shared" si="1"/>
        <v>1383474594.3099999</v>
      </c>
      <c r="G10" s="64">
        <f t="shared" si="1"/>
        <v>677652671.54000008</v>
      </c>
      <c r="H10" s="65">
        <f t="shared" si="1"/>
        <v>3284730881.9899998</v>
      </c>
    </row>
    <row r="12" spans="1:8" x14ac:dyDescent="0.25">
      <c r="H12" s="47"/>
    </row>
    <row r="13" spans="1:8" x14ac:dyDescent="0.25">
      <c r="H13" s="101"/>
    </row>
    <row r="16" spans="1:8" x14ac:dyDescent="0.25">
      <c r="H16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24"/>
  <sheetViews>
    <sheetView tabSelected="1" topLeftCell="A310" zoomScale="150" zoomScaleNormal="150" workbookViewId="0">
      <selection activeCell="H320" sqref="H320"/>
    </sheetView>
  </sheetViews>
  <sheetFormatPr baseColWidth="10" defaultRowHeight="15" x14ac:dyDescent="0.25"/>
  <cols>
    <col min="1" max="1" width="33" customWidth="1"/>
    <col min="2" max="2" width="15.7109375" customWidth="1"/>
    <col min="3" max="3" width="14.28515625" customWidth="1"/>
    <col min="4" max="4" width="15.85546875" customWidth="1"/>
    <col min="5" max="7" width="14.7109375" hidden="1" customWidth="1"/>
    <col min="8" max="9" width="15.28515625" bestFit="1" customWidth="1"/>
    <col min="10" max="10" width="15.28515625" hidden="1" customWidth="1"/>
    <col min="11" max="11" width="15.85546875" customWidth="1"/>
    <col min="12" max="12" width="15.5703125" customWidth="1"/>
    <col min="13" max="14" width="12.5703125" bestFit="1" customWidth="1"/>
    <col min="15" max="15" width="15.42578125" bestFit="1" customWidth="1"/>
  </cols>
  <sheetData>
    <row r="1" spans="1:14" x14ac:dyDescent="0.25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4" x14ac:dyDescent="0.25">
      <c r="A2" s="237" t="s">
        <v>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4" x14ac:dyDescent="0.25">
      <c r="A3" s="237" t="s">
        <v>48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4" x14ac:dyDescent="0.25">
      <c r="A4" s="237" t="s">
        <v>49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4" x14ac:dyDescent="0.25">
      <c r="A5" s="237" t="s">
        <v>686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4" ht="36" x14ac:dyDescent="0.25">
      <c r="A6" s="194" t="s">
        <v>50</v>
      </c>
      <c r="B6" s="195" t="s">
        <v>51</v>
      </c>
      <c r="C6" s="195" t="s">
        <v>52</v>
      </c>
      <c r="D6" s="196" t="s">
        <v>53</v>
      </c>
      <c r="E6" s="196" t="s">
        <v>54</v>
      </c>
      <c r="F6" s="196" t="s">
        <v>55</v>
      </c>
      <c r="G6" s="196" t="s">
        <v>56</v>
      </c>
      <c r="H6" s="195" t="s">
        <v>57</v>
      </c>
      <c r="I6" s="195" t="s">
        <v>45</v>
      </c>
      <c r="J6" s="195" t="s">
        <v>680</v>
      </c>
      <c r="K6" s="195" t="s">
        <v>1</v>
      </c>
      <c r="L6" s="195" t="s">
        <v>58</v>
      </c>
    </row>
    <row r="7" spans="1:14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4" x14ac:dyDescent="0.25">
      <c r="A8" s="197" t="s">
        <v>59</v>
      </c>
      <c r="B8" s="198">
        <f>+B9+B13+B18+B25+B29</f>
        <v>2608272097.48</v>
      </c>
      <c r="C8" s="198">
        <f>+C9+C13+C18+C25+C29</f>
        <v>0</v>
      </c>
      <c r="D8" s="198">
        <f>+D9+D13+D18+D25+D29</f>
        <v>2608272097.48</v>
      </c>
      <c r="E8" s="198">
        <f>(+E9+E13+E18+E25+E29)</f>
        <v>0</v>
      </c>
      <c r="F8" s="198">
        <f t="shared" ref="F8:L8" si="0">+F9+F13+F18+F25+F29</f>
        <v>0</v>
      </c>
      <c r="G8" s="198">
        <f t="shared" si="0"/>
        <v>0</v>
      </c>
      <c r="H8" s="198">
        <f t="shared" si="0"/>
        <v>0</v>
      </c>
      <c r="I8" s="198">
        <f>+I9+I13+I18+I25+I29</f>
        <v>585323816.75</v>
      </c>
      <c r="J8" s="198">
        <f>+J9+J13+J18+J25+J29</f>
        <v>0</v>
      </c>
      <c r="K8" s="198">
        <f t="shared" si="0"/>
        <v>585323816.75</v>
      </c>
      <c r="L8" s="198">
        <f t="shared" si="0"/>
        <v>2022948280.73</v>
      </c>
    </row>
    <row r="9" spans="1:14" x14ac:dyDescent="0.25">
      <c r="A9" s="197" t="s">
        <v>60</v>
      </c>
      <c r="B9" s="199">
        <f>SUM(B10:B11)</f>
        <v>896879863.48000002</v>
      </c>
      <c r="C9" s="199">
        <f>SUM(C10:C11)</f>
        <v>0</v>
      </c>
      <c r="D9" s="199">
        <f>SUM(D10:D11)</f>
        <v>896879863.48000002</v>
      </c>
      <c r="E9" s="200">
        <f>(SUM(E10:E11))</f>
        <v>0</v>
      </c>
      <c r="F9" s="200">
        <f t="shared" ref="F9:L9" si="1">SUM(F10:F11)</f>
        <v>0</v>
      </c>
      <c r="G9" s="200">
        <f t="shared" si="1"/>
        <v>0</v>
      </c>
      <c r="H9" s="200">
        <f t="shared" si="1"/>
        <v>0</v>
      </c>
      <c r="I9" s="200">
        <f>SUM(I10:I11)</f>
        <v>201387747.90000001</v>
      </c>
      <c r="J9" s="200">
        <f>SUM(J10:J11)</f>
        <v>0</v>
      </c>
      <c r="K9" s="200">
        <f>SUM(K10:K11)</f>
        <v>201387747.90000001</v>
      </c>
      <c r="L9" s="200">
        <f t="shared" si="1"/>
        <v>695492115.58000004</v>
      </c>
    </row>
    <row r="10" spans="1:14" ht="24" x14ac:dyDescent="0.25">
      <c r="A10" s="201" t="s">
        <v>61</v>
      </c>
      <c r="B10" s="202">
        <v>865040748</v>
      </c>
      <c r="C10" s="202">
        <v>0</v>
      </c>
      <c r="D10" s="202">
        <f>+B10+C10</f>
        <v>865040748</v>
      </c>
      <c r="E10" s="202"/>
      <c r="F10" s="202"/>
      <c r="G10" s="202"/>
      <c r="H10" s="202">
        <f>+E10+F10+G10</f>
        <v>0</v>
      </c>
      <c r="I10" s="202">
        <v>201007772.90000001</v>
      </c>
      <c r="J10" s="202"/>
      <c r="K10" s="203">
        <f>+I10+H10</f>
        <v>201007772.90000001</v>
      </c>
      <c r="L10" s="204">
        <f>+D10-J10-K10</f>
        <v>664032975.10000002</v>
      </c>
      <c r="N10" s="2"/>
    </row>
    <row r="11" spans="1:14" x14ac:dyDescent="0.25">
      <c r="A11" s="201" t="s">
        <v>62</v>
      </c>
      <c r="B11" s="202">
        <v>31839115.48</v>
      </c>
      <c r="C11" s="202"/>
      <c r="D11" s="202">
        <f t="shared" ref="D11" si="2">+B11+C11</f>
        <v>31839115.48</v>
      </c>
      <c r="E11" s="202"/>
      <c r="F11" s="202"/>
      <c r="G11" s="202"/>
      <c r="H11" s="202">
        <f>+E11+F11+G11</f>
        <v>0</v>
      </c>
      <c r="I11" s="202">
        <v>379975</v>
      </c>
      <c r="J11" s="202"/>
      <c r="K11" s="203">
        <f>+I11+H11</f>
        <v>379975</v>
      </c>
      <c r="L11" s="204">
        <f>+D11-J11-K11</f>
        <v>31459140.48</v>
      </c>
    </row>
    <row r="12" spans="1:14" x14ac:dyDescent="0.25">
      <c r="A12" s="205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4" x14ac:dyDescent="0.25">
      <c r="A13" s="197" t="s">
        <v>63</v>
      </c>
      <c r="B13" s="199">
        <f>SUM(B14:B16)</f>
        <v>19852245</v>
      </c>
      <c r="C13" s="199">
        <f>SUM(C14:C16)</f>
        <v>0</v>
      </c>
      <c r="D13" s="200">
        <f t="shared" ref="D13:L13" si="3">SUM(D14:D16)</f>
        <v>19852245</v>
      </c>
      <c r="E13" s="200">
        <f>(SUM(E14:E16))</f>
        <v>0</v>
      </c>
      <c r="F13" s="200">
        <f t="shared" si="3"/>
        <v>0</v>
      </c>
      <c r="G13" s="200">
        <f t="shared" si="3"/>
        <v>0</v>
      </c>
      <c r="H13" s="200">
        <f t="shared" si="3"/>
        <v>0</v>
      </c>
      <c r="I13" s="200">
        <f>SUM(I14:I16)</f>
        <v>2210058.66</v>
      </c>
      <c r="J13" s="200">
        <f>SUM(J14:J16)</f>
        <v>0</v>
      </c>
      <c r="K13" s="200">
        <f>SUM(K14:K16)</f>
        <v>2210058.66</v>
      </c>
      <c r="L13" s="200">
        <f t="shared" si="3"/>
        <v>17642186.34</v>
      </c>
    </row>
    <row r="14" spans="1:14" x14ac:dyDescent="0.25">
      <c r="A14" s="201" t="s">
        <v>64</v>
      </c>
      <c r="B14" s="202">
        <v>19852245</v>
      </c>
      <c r="C14" s="202">
        <v>0</v>
      </c>
      <c r="D14" s="202">
        <f>+B14+C14</f>
        <v>19852245</v>
      </c>
      <c r="E14" s="204"/>
      <c r="F14" s="202"/>
      <c r="G14" s="202"/>
      <c r="H14" s="202">
        <f>+E14+F14+G14</f>
        <v>0</v>
      </c>
      <c r="I14" s="202">
        <v>2210058.66</v>
      </c>
      <c r="J14" s="202"/>
      <c r="K14" s="203">
        <f>+I14+H14</f>
        <v>2210058.66</v>
      </c>
      <c r="L14" s="204">
        <f t="shared" ref="L14:L16" si="4">+D14-J14-K14</f>
        <v>17642186.34</v>
      </c>
      <c r="M14" s="2"/>
    </row>
    <row r="15" spans="1:14" x14ac:dyDescent="0.25">
      <c r="A15" s="201" t="s">
        <v>65</v>
      </c>
      <c r="B15" s="202">
        <v>0</v>
      </c>
      <c r="C15" s="202">
        <v>0</v>
      </c>
      <c r="D15" s="202">
        <f>+B15+C15</f>
        <v>0</v>
      </c>
      <c r="E15" s="204"/>
      <c r="F15" s="202"/>
      <c r="G15" s="202"/>
      <c r="H15" s="202">
        <f>+E15+F15+G15</f>
        <v>0</v>
      </c>
      <c r="I15" s="202">
        <v>0</v>
      </c>
      <c r="J15" s="202"/>
      <c r="K15" s="203">
        <f>+I15+H15</f>
        <v>0</v>
      </c>
      <c r="L15" s="204">
        <f t="shared" si="4"/>
        <v>0</v>
      </c>
    </row>
    <row r="16" spans="1:14" x14ac:dyDescent="0.25">
      <c r="A16" s="201" t="s">
        <v>66</v>
      </c>
      <c r="B16" s="202">
        <v>0</v>
      </c>
      <c r="C16" s="202">
        <v>0</v>
      </c>
      <c r="D16" s="202">
        <f>+B16+C16</f>
        <v>0</v>
      </c>
      <c r="E16" s="204"/>
      <c r="F16" s="202"/>
      <c r="G16" s="202"/>
      <c r="H16" s="202">
        <f>+E16+F16+G16</f>
        <v>0</v>
      </c>
      <c r="I16" s="202">
        <v>0</v>
      </c>
      <c r="J16" s="202"/>
      <c r="K16" s="203">
        <f>+I16+H16</f>
        <v>0</v>
      </c>
      <c r="L16" s="204">
        <f t="shared" si="4"/>
        <v>0</v>
      </c>
    </row>
    <row r="17" spans="1:13" x14ac:dyDescent="0.25">
      <c r="A17" s="20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</row>
    <row r="18" spans="1:13" x14ac:dyDescent="0.25">
      <c r="A18" s="197" t="s">
        <v>67</v>
      </c>
      <c r="B18" s="199">
        <f>SUM(B19:B23)</f>
        <v>1210009840</v>
      </c>
      <c r="C18" s="200">
        <f>SUM(C19:C23)</f>
        <v>0</v>
      </c>
      <c r="D18" s="200">
        <f t="shared" ref="D18:L18" si="5">SUM(D19:D23)</f>
        <v>1210009840</v>
      </c>
      <c r="E18" s="200">
        <f>(SUM(E19:E23))</f>
        <v>0</v>
      </c>
      <c r="F18" s="200">
        <f t="shared" si="5"/>
        <v>0</v>
      </c>
      <c r="G18" s="200">
        <f t="shared" si="5"/>
        <v>0</v>
      </c>
      <c r="H18" s="200">
        <f t="shared" si="5"/>
        <v>0</v>
      </c>
      <c r="I18" s="200">
        <f>SUM(I19:I23)</f>
        <v>273130628.94</v>
      </c>
      <c r="J18" s="200">
        <f>SUM(J19:J23)</f>
        <v>0</v>
      </c>
      <c r="K18" s="200">
        <f>SUM(K19:K23)</f>
        <v>273130628.94</v>
      </c>
      <c r="L18" s="200">
        <f t="shared" si="5"/>
        <v>936879211.05999982</v>
      </c>
    </row>
    <row r="19" spans="1:13" ht="24" x14ac:dyDescent="0.25">
      <c r="A19" s="201" t="s">
        <v>68</v>
      </c>
      <c r="B19" s="202">
        <v>375638701</v>
      </c>
      <c r="C19" s="202">
        <v>0</v>
      </c>
      <c r="D19" s="202">
        <f>+B19+C19</f>
        <v>375638701</v>
      </c>
      <c r="E19" s="202"/>
      <c r="F19" s="202"/>
      <c r="G19" s="202"/>
      <c r="H19" s="202">
        <f t="shared" ref="H19:H23" si="6">+E19+F19+G19</f>
        <v>0</v>
      </c>
      <c r="I19" s="202">
        <v>51205388.829999998</v>
      </c>
      <c r="J19" s="202"/>
      <c r="K19" s="203">
        <f>+I19+H19</f>
        <v>51205388.829999998</v>
      </c>
      <c r="L19" s="204">
        <f t="shared" ref="L19:L23" si="7">+D19-J19-K19</f>
        <v>324433312.17000002</v>
      </c>
      <c r="M19" s="2"/>
    </row>
    <row r="20" spans="1:13" ht="24" x14ac:dyDescent="0.25">
      <c r="A20" s="201" t="s">
        <v>69</v>
      </c>
      <c r="B20" s="202">
        <v>398054970</v>
      </c>
      <c r="C20" s="202">
        <v>0</v>
      </c>
      <c r="D20" s="202">
        <f>+B20+C20</f>
        <v>398054970</v>
      </c>
      <c r="E20" s="202"/>
      <c r="F20" s="202"/>
      <c r="G20" s="202"/>
      <c r="H20" s="202">
        <f t="shared" si="6"/>
        <v>0</v>
      </c>
      <c r="I20" s="202">
        <v>82479527.870000005</v>
      </c>
      <c r="J20" s="202"/>
      <c r="K20" s="203">
        <f>+I20+H20</f>
        <v>82479527.870000005</v>
      </c>
      <c r="L20" s="204">
        <f t="shared" si="7"/>
        <v>315575442.13</v>
      </c>
      <c r="M20" s="2"/>
    </row>
    <row r="21" spans="1:13" x14ac:dyDescent="0.25">
      <c r="A21" s="201" t="s">
        <v>70</v>
      </c>
      <c r="B21" s="202">
        <v>163535128</v>
      </c>
      <c r="C21" s="202">
        <v>0</v>
      </c>
      <c r="D21" s="202">
        <f>+B21+C21</f>
        <v>163535128</v>
      </c>
      <c r="E21" s="202"/>
      <c r="F21" s="202"/>
      <c r="G21" s="202"/>
      <c r="H21" s="202">
        <f t="shared" si="6"/>
        <v>0</v>
      </c>
      <c r="I21" s="202">
        <v>105779.95</v>
      </c>
      <c r="J21" s="202"/>
      <c r="K21" s="203">
        <f>+I21+H21</f>
        <v>105779.95</v>
      </c>
      <c r="L21" s="204">
        <f t="shared" si="7"/>
        <v>163429348.05000001</v>
      </c>
    </row>
    <row r="22" spans="1:13" x14ac:dyDescent="0.25">
      <c r="A22" s="201" t="s">
        <v>71</v>
      </c>
      <c r="B22" s="202">
        <v>134687947</v>
      </c>
      <c r="C22" s="202">
        <v>0</v>
      </c>
      <c r="D22" s="202">
        <f>+B22+C22</f>
        <v>134687947</v>
      </c>
      <c r="E22" s="202"/>
      <c r="F22" s="202"/>
      <c r="G22" s="202"/>
      <c r="H22" s="202">
        <f t="shared" si="6"/>
        <v>0</v>
      </c>
      <c r="I22" s="202">
        <v>115743939.58</v>
      </c>
      <c r="J22" s="202"/>
      <c r="K22" s="203">
        <f>+I22+H22</f>
        <v>115743939.58</v>
      </c>
      <c r="L22" s="204">
        <f t="shared" si="7"/>
        <v>18944007.420000002</v>
      </c>
    </row>
    <row r="23" spans="1:13" ht="24" x14ac:dyDescent="0.25">
      <c r="A23" s="201" t="s">
        <v>72</v>
      </c>
      <c r="B23" s="202">
        <v>138093094</v>
      </c>
      <c r="C23" s="202">
        <v>0</v>
      </c>
      <c r="D23" s="202">
        <f>+B23+C23</f>
        <v>138093094</v>
      </c>
      <c r="E23" s="202"/>
      <c r="F23" s="202"/>
      <c r="G23" s="202"/>
      <c r="H23" s="202">
        <f t="shared" si="6"/>
        <v>0</v>
      </c>
      <c r="I23" s="202">
        <v>23595992.710000001</v>
      </c>
      <c r="J23" s="202"/>
      <c r="K23" s="203">
        <f>+I23+H23</f>
        <v>23595992.710000001</v>
      </c>
      <c r="L23" s="204">
        <f t="shared" si="7"/>
        <v>114497101.28999999</v>
      </c>
      <c r="M23" s="2"/>
    </row>
    <row r="24" spans="1:13" x14ac:dyDescent="0.25">
      <c r="A24" s="205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  <row r="25" spans="1:13" ht="36" x14ac:dyDescent="0.25">
      <c r="A25" s="197" t="s">
        <v>73</v>
      </c>
      <c r="B25" s="199">
        <f>SUM(B26:B27)</f>
        <v>191412665</v>
      </c>
      <c r="C25" s="200">
        <f>SUM(C26:C27)</f>
        <v>0</v>
      </c>
      <c r="D25" s="200">
        <f t="shared" ref="D25:L25" si="8">SUM(D26:D27)</f>
        <v>191412665</v>
      </c>
      <c r="E25" s="200">
        <f>(SUM(E26:E27))</f>
        <v>0</v>
      </c>
      <c r="F25" s="200">
        <f t="shared" si="8"/>
        <v>0</v>
      </c>
      <c r="G25" s="200">
        <f t="shared" si="8"/>
        <v>0</v>
      </c>
      <c r="H25" s="200">
        <f t="shared" si="8"/>
        <v>0</v>
      </c>
      <c r="I25" s="200">
        <f>SUM(I26:I27)</f>
        <v>46543576.509999998</v>
      </c>
      <c r="J25" s="200">
        <f>SUM(J26:J27)</f>
        <v>0</v>
      </c>
      <c r="K25" s="200">
        <f>SUM(K26:K27)</f>
        <v>46543576.509999998</v>
      </c>
      <c r="L25" s="200">
        <f t="shared" si="8"/>
        <v>144869088.49000001</v>
      </c>
    </row>
    <row r="26" spans="1:13" ht="24" x14ac:dyDescent="0.25">
      <c r="A26" s="201" t="s">
        <v>74</v>
      </c>
      <c r="B26" s="202">
        <v>181596631</v>
      </c>
      <c r="C26" s="202">
        <v>0</v>
      </c>
      <c r="D26" s="202">
        <f>+B26+C26</f>
        <v>181596631</v>
      </c>
      <c r="E26" s="202"/>
      <c r="F26" s="202"/>
      <c r="G26" s="202"/>
      <c r="H26" s="202">
        <f t="shared" ref="H26:H27" si="9">+E26+F26+G26</f>
        <v>0</v>
      </c>
      <c r="I26" s="202">
        <v>44171438</v>
      </c>
      <c r="J26" s="202"/>
      <c r="K26" s="203">
        <f>+I26+H26</f>
        <v>44171438</v>
      </c>
      <c r="L26" s="204">
        <f t="shared" ref="L26:L27" si="10">+D26-J26-K26</f>
        <v>137425193</v>
      </c>
      <c r="M26" s="2"/>
    </row>
    <row r="27" spans="1:13" ht="24" x14ac:dyDescent="0.25">
      <c r="A27" s="201" t="s">
        <v>75</v>
      </c>
      <c r="B27" s="202">
        <v>9816034</v>
      </c>
      <c r="C27" s="202">
        <v>0</v>
      </c>
      <c r="D27" s="202">
        <f>+B27+C27</f>
        <v>9816034</v>
      </c>
      <c r="E27" s="202"/>
      <c r="F27" s="202"/>
      <c r="G27" s="202"/>
      <c r="H27" s="202">
        <f t="shared" si="9"/>
        <v>0</v>
      </c>
      <c r="I27" s="202">
        <v>2372138.5099999998</v>
      </c>
      <c r="J27" s="202"/>
      <c r="K27" s="203">
        <f>+I27+H27</f>
        <v>2372138.5099999998</v>
      </c>
      <c r="L27" s="204">
        <f t="shared" si="10"/>
        <v>7443895.4900000002</v>
      </c>
      <c r="M27" s="2"/>
    </row>
    <row r="28" spans="1:13" x14ac:dyDescent="0.25">
      <c r="A28" s="205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3" ht="36" x14ac:dyDescent="0.25">
      <c r="A29" s="197" t="s">
        <v>76</v>
      </c>
      <c r="B29" s="199">
        <f>SUM(B30:B33)</f>
        <v>290117484</v>
      </c>
      <c r="C29" s="200">
        <f>SUM(C30:C33)</f>
        <v>0</v>
      </c>
      <c r="D29" s="200">
        <f t="shared" ref="D29:L29" si="11">SUM(D30:D33)</f>
        <v>290117484</v>
      </c>
      <c r="E29" s="200">
        <f>(SUM(E30:E33))</f>
        <v>0</v>
      </c>
      <c r="F29" s="200">
        <f t="shared" si="11"/>
        <v>0</v>
      </c>
      <c r="G29" s="200">
        <f t="shared" si="11"/>
        <v>0</v>
      </c>
      <c r="H29" s="200">
        <f t="shared" si="11"/>
        <v>0</v>
      </c>
      <c r="I29" s="200">
        <f>SUM(I30:I33)</f>
        <v>62051804.740000002</v>
      </c>
      <c r="J29" s="200">
        <f>SUM(J30:J33)</f>
        <v>0</v>
      </c>
      <c r="K29" s="200">
        <f>SUM(K30:K33)</f>
        <v>62051804.740000002</v>
      </c>
      <c r="L29" s="200">
        <f t="shared" si="11"/>
        <v>228065679.25999999</v>
      </c>
    </row>
    <row r="30" spans="1:13" ht="36" x14ac:dyDescent="0.25">
      <c r="A30" s="201" t="s">
        <v>666</v>
      </c>
      <c r="B30" s="202">
        <v>103068358</v>
      </c>
      <c r="C30" s="202"/>
      <c r="D30" s="202">
        <f>+B30+C30</f>
        <v>103068358</v>
      </c>
      <c r="E30" s="202"/>
      <c r="F30" s="202"/>
      <c r="G30" s="202"/>
      <c r="H30" s="202">
        <f t="shared" ref="H30:H33" si="12">+E30+F30+G30</f>
        <v>0</v>
      </c>
      <c r="I30" s="202">
        <v>24666420.559999999</v>
      </c>
      <c r="J30" s="202"/>
      <c r="K30" s="203">
        <f>+I30+H30</f>
        <v>24666420.559999999</v>
      </c>
      <c r="L30" s="204">
        <f t="shared" ref="L30:L33" si="13">+D30-J30-K30</f>
        <v>78401937.439999998</v>
      </c>
      <c r="M30" s="2"/>
    </row>
    <row r="31" spans="1:13" ht="24" x14ac:dyDescent="0.25">
      <c r="A31" s="201" t="s">
        <v>77</v>
      </c>
      <c r="B31" s="202">
        <v>58896204</v>
      </c>
      <c r="C31" s="202">
        <v>0</v>
      </c>
      <c r="D31" s="202">
        <f>+B31+C31</f>
        <v>58896204</v>
      </c>
      <c r="E31" s="202"/>
      <c r="F31" s="202"/>
      <c r="G31" s="202"/>
      <c r="H31" s="202">
        <f t="shared" ref="H31" si="14">+E31+F31+G31</f>
        <v>0</v>
      </c>
      <c r="I31" s="202">
        <v>14163963.439999999</v>
      </c>
      <c r="J31" s="202"/>
      <c r="K31" s="203">
        <f>+I31+H31</f>
        <v>14163963.439999999</v>
      </c>
      <c r="L31" s="204">
        <f t="shared" si="13"/>
        <v>44732240.560000002</v>
      </c>
      <c r="M31" s="2"/>
    </row>
    <row r="32" spans="1:13" ht="24" x14ac:dyDescent="0.25">
      <c r="A32" s="201" t="s">
        <v>78</v>
      </c>
      <c r="B32" s="202">
        <v>29448102</v>
      </c>
      <c r="C32" s="202">
        <v>0</v>
      </c>
      <c r="D32" s="202">
        <f>+B32+C32</f>
        <v>29448102</v>
      </c>
      <c r="E32" s="202"/>
      <c r="F32" s="202"/>
      <c r="G32" s="202"/>
      <c r="H32" s="202">
        <f t="shared" si="12"/>
        <v>0</v>
      </c>
      <c r="I32" s="202">
        <v>7185279.6100000003</v>
      </c>
      <c r="J32" s="202"/>
      <c r="K32" s="203">
        <f>+I32+H32</f>
        <v>7185279.6100000003</v>
      </c>
      <c r="L32" s="204">
        <f t="shared" si="13"/>
        <v>22262822.390000001</v>
      </c>
      <c r="M32" s="2"/>
    </row>
    <row r="33" spans="1:13" ht="24" x14ac:dyDescent="0.25">
      <c r="A33" s="201" t="s">
        <v>79</v>
      </c>
      <c r="B33" s="202">
        <v>98704820</v>
      </c>
      <c r="C33" s="202">
        <v>0</v>
      </c>
      <c r="D33" s="202">
        <f>+B33+C33</f>
        <v>98704820</v>
      </c>
      <c r="E33" s="202"/>
      <c r="F33" s="202"/>
      <c r="G33" s="202"/>
      <c r="H33" s="202">
        <f t="shared" si="12"/>
        <v>0</v>
      </c>
      <c r="I33" s="202">
        <v>16036141.130000001</v>
      </c>
      <c r="J33" s="202"/>
      <c r="K33" s="203">
        <f>+I33+H33</f>
        <v>16036141.130000001</v>
      </c>
      <c r="L33" s="204">
        <f t="shared" si="13"/>
        <v>82668678.870000005</v>
      </c>
      <c r="M33" s="2"/>
    </row>
    <row r="34" spans="1:13" x14ac:dyDescent="0.25">
      <c r="A34" s="205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3" x14ac:dyDescent="0.25">
      <c r="A35" s="197" t="s">
        <v>80</v>
      </c>
      <c r="B35" s="206">
        <f>+B36+B42+B48+B55+B63+B69+B72+B77+B84+B87</f>
        <v>377750016.97999996</v>
      </c>
      <c r="C35" s="206">
        <f>+C36+C42+C48+C55+C63+C69+C72+C77+C84+C87</f>
        <v>0</v>
      </c>
      <c r="D35" s="206">
        <f>+D36+D42+D48+D55+D63+D69+D72+D77+D84+D87</f>
        <v>377750016.97999996</v>
      </c>
      <c r="E35" s="206">
        <f>(+E36+E42+E48+E55+E63+E69+E72+E77+E84+E87)</f>
        <v>0</v>
      </c>
      <c r="F35" s="206">
        <f t="shared" ref="F35:L35" si="15">+F36+F42+F48+F55+F63+F69+F72+F77+F84+F87</f>
        <v>0</v>
      </c>
      <c r="G35" s="206">
        <f t="shared" si="15"/>
        <v>0</v>
      </c>
      <c r="H35" s="206">
        <f t="shared" si="15"/>
        <v>0</v>
      </c>
      <c r="I35" s="206">
        <f>+I36+I42+I48+I55+I63+I69+I72+I77+I84+I87</f>
        <v>49786767.300000004</v>
      </c>
      <c r="J35" s="206">
        <f>+J36+J42+J48+J55+J63+J69+J72+J77+J84+J87</f>
        <v>0</v>
      </c>
      <c r="K35" s="206">
        <f>+K36+K42+K48+K55+K63+K69+K72+K77+K84+K87</f>
        <v>49786767.300000004</v>
      </c>
      <c r="L35" s="206">
        <f t="shared" si="15"/>
        <v>327963249.67999995</v>
      </c>
    </row>
    <row r="36" spans="1:13" x14ac:dyDescent="0.25">
      <c r="A36" s="197" t="s">
        <v>81</v>
      </c>
      <c r="B36" s="200">
        <f>SUM(B37:B40)</f>
        <v>9000000</v>
      </c>
      <c r="C36" s="200">
        <f>SUM(C37:C40)</f>
        <v>0</v>
      </c>
      <c r="D36" s="200">
        <f>SUM(D37:D40)</f>
        <v>9000000</v>
      </c>
      <c r="E36" s="200">
        <f>SUM(E37:E40)</f>
        <v>0</v>
      </c>
      <c r="F36" s="200">
        <f t="shared" ref="F36:H36" si="16">SUM(F37:F40)</f>
        <v>0</v>
      </c>
      <c r="G36" s="200">
        <f t="shared" si="16"/>
        <v>0</v>
      </c>
      <c r="H36" s="200">
        <f t="shared" si="16"/>
        <v>0</v>
      </c>
      <c r="I36" s="200">
        <f>SUM(I37:I40)</f>
        <v>329900.25</v>
      </c>
      <c r="J36" s="200">
        <f>SUM(J37:J40)</f>
        <v>0</v>
      </c>
      <c r="K36" s="200">
        <f>SUM(K37:K40)</f>
        <v>329900.25</v>
      </c>
      <c r="L36" s="200">
        <f>SUM(L37:L40)</f>
        <v>8670099.75</v>
      </c>
    </row>
    <row r="37" spans="1:13" ht="24" x14ac:dyDescent="0.25">
      <c r="A37" s="201" t="s">
        <v>641</v>
      </c>
      <c r="B37" s="204">
        <v>0</v>
      </c>
      <c r="C37" s="204">
        <v>0</v>
      </c>
      <c r="D37" s="202">
        <f>+B37+C37</f>
        <v>0</v>
      </c>
      <c r="E37" s="204"/>
      <c r="F37" s="202"/>
      <c r="G37" s="202"/>
      <c r="H37" s="202"/>
      <c r="I37" s="202">
        <v>0</v>
      </c>
      <c r="J37" s="202"/>
      <c r="K37" s="203">
        <f>+I37+H37</f>
        <v>0</v>
      </c>
      <c r="L37" s="204">
        <f t="shared" ref="L37:L40" si="17">+D37-J37-K37</f>
        <v>0</v>
      </c>
      <c r="M37" s="89"/>
    </row>
    <row r="38" spans="1:13" ht="24" x14ac:dyDescent="0.25">
      <c r="A38" s="201" t="s">
        <v>82</v>
      </c>
      <c r="B38" s="204">
        <v>9000000</v>
      </c>
      <c r="C38" s="204">
        <v>0</v>
      </c>
      <c r="D38" s="202">
        <f>+B38+C38</f>
        <v>9000000</v>
      </c>
      <c r="E38" s="204"/>
      <c r="F38" s="202"/>
      <c r="G38" s="202"/>
      <c r="H38" s="202"/>
      <c r="I38" s="202">
        <v>329900.25</v>
      </c>
      <c r="J38" s="202"/>
      <c r="K38" s="203">
        <f>+I38+H38</f>
        <v>329900.25</v>
      </c>
      <c r="L38" s="204">
        <f t="shared" si="17"/>
        <v>8670099.75</v>
      </c>
    </row>
    <row r="39" spans="1:13" ht="24" x14ac:dyDescent="0.25">
      <c r="A39" s="201" t="s">
        <v>83</v>
      </c>
      <c r="B39" s="204">
        <v>0</v>
      </c>
      <c r="C39" s="204">
        <v>0</v>
      </c>
      <c r="D39" s="202">
        <f>+B39+C39</f>
        <v>0</v>
      </c>
      <c r="E39" s="204"/>
      <c r="F39" s="202"/>
      <c r="G39" s="202"/>
      <c r="H39" s="202"/>
      <c r="I39" s="202">
        <v>0</v>
      </c>
      <c r="J39" s="202"/>
      <c r="K39" s="203">
        <f>+I39+H39</f>
        <v>0</v>
      </c>
      <c r="L39" s="204">
        <f t="shared" si="17"/>
        <v>0</v>
      </c>
    </row>
    <row r="40" spans="1:13" x14ac:dyDescent="0.25">
      <c r="A40" s="201" t="s">
        <v>638</v>
      </c>
      <c r="B40" s="204">
        <v>0</v>
      </c>
      <c r="C40" s="204">
        <v>0</v>
      </c>
      <c r="D40" s="202">
        <f>+B40+C40</f>
        <v>0</v>
      </c>
      <c r="E40" s="202"/>
      <c r="F40" s="202"/>
      <c r="G40" s="202"/>
      <c r="H40" s="202"/>
      <c r="I40" s="202">
        <v>0</v>
      </c>
      <c r="J40" s="202"/>
      <c r="K40" s="203">
        <f>+I40+H40</f>
        <v>0</v>
      </c>
      <c r="L40" s="204">
        <f t="shared" si="17"/>
        <v>0</v>
      </c>
    </row>
    <row r="41" spans="1:13" x14ac:dyDescent="0.25">
      <c r="A41" s="205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3" x14ac:dyDescent="0.25">
      <c r="A42" s="197" t="s">
        <v>84</v>
      </c>
      <c r="B42" s="200">
        <f>SUM(B43:B46)</f>
        <v>79929998.549999997</v>
      </c>
      <c r="C42" s="200">
        <f>SUM(C43:C46)</f>
        <v>0</v>
      </c>
      <c r="D42" s="200">
        <f t="shared" ref="D42:L42" si="18">SUM(D43:D46)</f>
        <v>79929998.549999997</v>
      </c>
      <c r="E42" s="200">
        <f>(SUM(E43:E46))</f>
        <v>0</v>
      </c>
      <c r="F42" s="200">
        <f t="shared" si="18"/>
        <v>0</v>
      </c>
      <c r="G42" s="200">
        <f t="shared" si="18"/>
        <v>0</v>
      </c>
      <c r="H42" s="200">
        <f t="shared" si="18"/>
        <v>0</v>
      </c>
      <c r="I42" s="200">
        <f>SUM(I43:I46)</f>
        <v>11722658.34</v>
      </c>
      <c r="J42" s="200">
        <f>SUM(J43:J46)</f>
        <v>0</v>
      </c>
      <c r="K42" s="200">
        <f>SUM(K43:K46)</f>
        <v>11722658.34</v>
      </c>
      <c r="L42" s="200">
        <f t="shared" si="18"/>
        <v>68207340.209999993</v>
      </c>
    </row>
    <row r="43" spans="1:13" ht="24" x14ac:dyDescent="0.25">
      <c r="A43" s="201" t="s">
        <v>85</v>
      </c>
      <c r="B43" s="204">
        <v>11340000</v>
      </c>
      <c r="C43" s="204">
        <v>0</v>
      </c>
      <c r="D43" s="202">
        <f>+B43+C43</f>
        <v>11340000</v>
      </c>
      <c r="E43" s="204"/>
      <c r="F43" s="202"/>
      <c r="G43" s="202"/>
      <c r="H43" s="202">
        <f t="shared" ref="H43:H46" si="19">+E43+F43+G43</f>
        <v>0</v>
      </c>
      <c r="I43" s="202">
        <v>1180131</v>
      </c>
      <c r="J43" s="202"/>
      <c r="K43" s="203">
        <f>+I43+H43</f>
        <v>1180131</v>
      </c>
      <c r="L43" s="204">
        <f t="shared" ref="L43:L46" si="20">+D43-J43-K43</f>
        <v>10159869</v>
      </c>
    </row>
    <row r="44" spans="1:13" ht="24" x14ac:dyDescent="0.25">
      <c r="A44" s="201" t="s">
        <v>86</v>
      </c>
      <c r="B44" s="204">
        <v>15120000</v>
      </c>
      <c r="C44" s="204">
        <v>0</v>
      </c>
      <c r="D44" s="202">
        <f>+B44+C44</f>
        <v>15120000</v>
      </c>
      <c r="E44" s="204"/>
      <c r="F44" s="202"/>
      <c r="G44" s="202"/>
      <c r="H44" s="202">
        <f t="shared" si="19"/>
        <v>0</v>
      </c>
      <c r="I44" s="202">
        <v>3944285.8</v>
      </c>
      <c r="J44" s="202"/>
      <c r="K44" s="203">
        <f>+I44+H44</f>
        <v>3944285.8</v>
      </c>
      <c r="L44" s="204">
        <f t="shared" si="20"/>
        <v>11175714.199999999</v>
      </c>
    </row>
    <row r="45" spans="1:13" x14ac:dyDescent="0.25">
      <c r="A45" s="201" t="s">
        <v>87</v>
      </c>
      <c r="B45" s="204">
        <v>0</v>
      </c>
      <c r="C45" s="204">
        <v>0</v>
      </c>
      <c r="D45" s="202">
        <f>+B45+C45</f>
        <v>0</v>
      </c>
      <c r="E45" s="204"/>
      <c r="F45" s="202"/>
      <c r="G45" s="202"/>
      <c r="H45" s="202">
        <f t="shared" si="19"/>
        <v>0</v>
      </c>
      <c r="I45" s="202"/>
      <c r="J45" s="202"/>
      <c r="K45" s="203">
        <f>+I45+H45</f>
        <v>0</v>
      </c>
      <c r="L45" s="204">
        <f t="shared" si="20"/>
        <v>0</v>
      </c>
    </row>
    <row r="46" spans="1:13" ht="24" x14ac:dyDescent="0.25">
      <c r="A46" s="201" t="s">
        <v>88</v>
      </c>
      <c r="B46" s="204">
        <v>53469998.549999997</v>
      </c>
      <c r="C46" s="204">
        <v>0</v>
      </c>
      <c r="D46" s="202">
        <f>+B46+C46</f>
        <v>53469998.549999997</v>
      </c>
      <c r="E46" s="204"/>
      <c r="F46" s="202"/>
      <c r="G46" s="202"/>
      <c r="H46" s="202">
        <f t="shared" si="19"/>
        <v>0</v>
      </c>
      <c r="I46" s="202">
        <v>6598241.54</v>
      </c>
      <c r="J46" s="202"/>
      <c r="K46" s="203">
        <f>+I46+H46</f>
        <v>6598241.54</v>
      </c>
      <c r="L46" s="204">
        <f t="shared" si="20"/>
        <v>46871757.009999998</v>
      </c>
    </row>
    <row r="47" spans="1:13" x14ac:dyDescent="0.25">
      <c r="A47" s="205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3" ht="24" x14ac:dyDescent="0.25">
      <c r="A48" s="197" t="s">
        <v>89</v>
      </c>
      <c r="B48" s="200">
        <f>SUM(B49:B53)</f>
        <v>9761539.5999999996</v>
      </c>
      <c r="C48" s="200">
        <f>SUM(C49:C53)</f>
        <v>0</v>
      </c>
      <c r="D48" s="200">
        <f t="shared" ref="D48:L48" si="21">SUM(D49:D53)</f>
        <v>9761539.5999999996</v>
      </c>
      <c r="E48" s="200">
        <f>(SUM(E49:E53))</f>
        <v>0</v>
      </c>
      <c r="F48" s="200">
        <f t="shared" si="21"/>
        <v>0</v>
      </c>
      <c r="G48" s="200">
        <f t="shared" si="21"/>
        <v>0</v>
      </c>
      <c r="H48" s="200">
        <f t="shared" si="21"/>
        <v>0</v>
      </c>
      <c r="I48" s="200">
        <f>SUM(I49:I53)</f>
        <v>447964.13</v>
      </c>
      <c r="J48" s="200">
        <f>SUM(J49:J53)</f>
        <v>0</v>
      </c>
      <c r="K48" s="200">
        <f>SUM(K49:K53)</f>
        <v>447964.13</v>
      </c>
      <c r="L48" s="200">
        <f t="shared" si="21"/>
        <v>9313575.4699999988</v>
      </c>
    </row>
    <row r="49" spans="1:12" x14ac:dyDescent="0.25">
      <c r="A49" s="201" t="s">
        <v>90</v>
      </c>
      <c r="B49" s="204">
        <v>5412500</v>
      </c>
      <c r="C49" s="204">
        <v>0</v>
      </c>
      <c r="D49" s="202">
        <f>+B49+C49</f>
        <v>5412500</v>
      </c>
      <c r="E49" s="202"/>
      <c r="F49" s="202"/>
      <c r="G49" s="202"/>
      <c r="H49" s="202">
        <f t="shared" ref="H49:H53" si="22">+E49+F49+G49</f>
        <v>0</v>
      </c>
      <c r="I49" s="202">
        <v>16140</v>
      </c>
      <c r="J49" s="202"/>
      <c r="K49" s="203">
        <f>+I49+H49</f>
        <v>16140</v>
      </c>
      <c r="L49" s="204">
        <f t="shared" ref="L49:L53" si="23">+D49-J49-K49</f>
        <v>5396360</v>
      </c>
    </row>
    <row r="50" spans="1:12" ht="24" x14ac:dyDescent="0.25">
      <c r="A50" s="201" t="s">
        <v>91</v>
      </c>
      <c r="B50" s="204">
        <v>2435423.6</v>
      </c>
      <c r="C50" s="204">
        <v>0</v>
      </c>
      <c r="D50" s="202">
        <f>+B50+C50</f>
        <v>2435423.6</v>
      </c>
      <c r="E50" s="202"/>
      <c r="F50" s="202"/>
      <c r="G50" s="202"/>
      <c r="H50" s="202">
        <f t="shared" si="22"/>
        <v>0</v>
      </c>
      <c r="I50" s="202">
        <v>0</v>
      </c>
      <c r="J50" s="202"/>
      <c r="K50" s="203">
        <f>+I50+H50</f>
        <v>0</v>
      </c>
      <c r="L50" s="204">
        <f t="shared" si="23"/>
        <v>2435423.6</v>
      </c>
    </row>
    <row r="51" spans="1:12" x14ac:dyDescent="0.25">
      <c r="A51" s="201" t="s">
        <v>92</v>
      </c>
      <c r="B51" s="204">
        <v>150000</v>
      </c>
      <c r="C51" s="204">
        <v>0</v>
      </c>
      <c r="D51" s="202">
        <f>+B51+C51</f>
        <v>150000</v>
      </c>
      <c r="E51" s="202"/>
      <c r="F51" s="202"/>
      <c r="G51" s="202"/>
      <c r="H51" s="202">
        <f t="shared" si="22"/>
        <v>0</v>
      </c>
      <c r="I51" s="202"/>
      <c r="J51" s="202"/>
      <c r="K51" s="203">
        <f>+I51+H51</f>
        <v>0</v>
      </c>
      <c r="L51" s="204">
        <f t="shared" si="23"/>
        <v>150000</v>
      </c>
    </row>
    <row r="52" spans="1:12" ht="36" x14ac:dyDescent="0.25">
      <c r="A52" s="201" t="s">
        <v>93</v>
      </c>
      <c r="B52" s="204">
        <v>1013616</v>
      </c>
      <c r="C52" s="204">
        <v>0</v>
      </c>
      <c r="D52" s="202">
        <f>+B52+C52</f>
        <v>1013616</v>
      </c>
      <c r="E52" s="202"/>
      <c r="F52" s="202"/>
      <c r="G52" s="202"/>
      <c r="H52" s="202">
        <f t="shared" si="22"/>
        <v>0</v>
      </c>
      <c r="I52" s="202">
        <v>431824.13</v>
      </c>
      <c r="J52" s="202"/>
      <c r="K52" s="203">
        <f>+I52+H52</f>
        <v>431824.13</v>
      </c>
      <c r="L52" s="204">
        <f t="shared" si="23"/>
        <v>581791.87</v>
      </c>
    </row>
    <row r="53" spans="1:12" ht="24" x14ac:dyDescent="0.25">
      <c r="A53" s="201" t="s">
        <v>94</v>
      </c>
      <c r="B53" s="204">
        <v>750000</v>
      </c>
      <c r="C53" s="204">
        <v>0</v>
      </c>
      <c r="D53" s="202">
        <f>+B53+C53</f>
        <v>750000</v>
      </c>
      <c r="E53" s="202"/>
      <c r="F53" s="202"/>
      <c r="G53" s="202"/>
      <c r="H53" s="202">
        <f t="shared" si="22"/>
        <v>0</v>
      </c>
      <c r="I53" s="202"/>
      <c r="J53" s="202"/>
      <c r="K53" s="203">
        <f>+I53+H53</f>
        <v>0</v>
      </c>
      <c r="L53" s="204">
        <f t="shared" si="23"/>
        <v>750000</v>
      </c>
    </row>
    <row r="54" spans="1:12" x14ac:dyDescent="0.25">
      <c r="A54" s="205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</row>
    <row r="55" spans="1:12" x14ac:dyDescent="0.25">
      <c r="A55" s="197" t="s">
        <v>95</v>
      </c>
      <c r="B55" s="200">
        <f>SUM(B56:B61)</f>
        <v>161959682.42000002</v>
      </c>
      <c r="C55" s="200">
        <f>SUM(C56:C61)</f>
        <v>0</v>
      </c>
      <c r="D55" s="200">
        <f t="shared" ref="D55:L55" si="24">SUM(D56:D61)</f>
        <v>161959682.42000002</v>
      </c>
      <c r="E55" s="200">
        <f>(SUM(E56:E61))</f>
        <v>0</v>
      </c>
      <c r="F55" s="200">
        <f t="shared" si="24"/>
        <v>0</v>
      </c>
      <c r="G55" s="200">
        <f t="shared" si="24"/>
        <v>0</v>
      </c>
      <c r="H55" s="200">
        <f t="shared" si="24"/>
        <v>0</v>
      </c>
      <c r="I55" s="200">
        <f>SUM(I56:I61)</f>
        <v>12912489.210000001</v>
      </c>
      <c r="J55" s="200">
        <f>SUM(J56:J61)</f>
        <v>0</v>
      </c>
      <c r="K55" s="200">
        <f>SUM(K56:K61)</f>
        <v>12912489.210000001</v>
      </c>
      <c r="L55" s="200">
        <f t="shared" si="24"/>
        <v>149047193.21000001</v>
      </c>
    </row>
    <row r="56" spans="1:12" x14ac:dyDescent="0.25">
      <c r="A56" s="201" t="s">
        <v>96</v>
      </c>
      <c r="B56" s="204">
        <v>7000000</v>
      </c>
      <c r="C56" s="204">
        <v>0</v>
      </c>
      <c r="D56" s="202">
        <f t="shared" ref="D56:D61" si="25">+B56+C56</f>
        <v>7000000</v>
      </c>
      <c r="E56" s="202"/>
      <c r="F56" s="202"/>
      <c r="G56" s="202"/>
      <c r="H56" s="202">
        <f t="shared" ref="H56:H61" si="26">+E56+F56+G56</f>
        <v>0</v>
      </c>
      <c r="I56" s="202">
        <v>0</v>
      </c>
      <c r="J56" s="202"/>
      <c r="K56" s="203">
        <f t="shared" ref="K56:K61" si="27">+I56+H56</f>
        <v>0</v>
      </c>
      <c r="L56" s="204">
        <f t="shared" ref="L56:L61" si="28">+D56-J56-K56</f>
        <v>7000000</v>
      </c>
    </row>
    <row r="57" spans="1:12" ht="24" x14ac:dyDescent="0.25">
      <c r="A57" s="201" t="s">
        <v>170</v>
      </c>
      <c r="B57" s="204">
        <v>3400000</v>
      </c>
      <c r="C57" s="204">
        <v>0</v>
      </c>
      <c r="D57" s="202">
        <f t="shared" si="25"/>
        <v>3400000</v>
      </c>
      <c r="E57" s="202"/>
      <c r="F57" s="202"/>
      <c r="G57" s="202"/>
      <c r="H57" s="202">
        <f t="shared" si="26"/>
        <v>0</v>
      </c>
      <c r="I57" s="202">
        <v>0</v>
      </c>
      <c r="J57" s="202"/>
      <c r="K57" s="203">
        <f t="shared" si="27"/>
        <v>0</v>
      </c>
      <c r="L57" s="204">
        <f t="shared" si="28"/>
        <v>3400000</v>
      </c>
    </row>
    <row r="58" spans="1:12" ht="24" x14ac:dyDescent="0.25">
      <c r="A58" s="201" t="s">
        <v>97</v>
      </c>
      <c r="B58" s="204">
        <v>7910000</v>
      </c>
      <c r="C58" s="204">
        <v>0</v>
      </c>
      <c r="D58" s="202">
        <f t="shared" si="25"/>
        <v>7910000</v>
      </c>
      <c r="E58" s="202"/>
      <c r="F58" s="202"/>
      <c r="G58" s="202"/>
      <c r="H58" s="202">
        <f t="shared" si="26"/>
        <v>0</v>
      </c>
      <c r="I58" s="202">
        <v>0</v>
      </c>
      <c r="J58" s="202"/>
      <c r="K58" s="203">
        <f t="shared" si="27"/>
        <v>0</v>
      </c>
      <c r="L58" s="204">
        <f t="shared" si="28"/>
        <v>7910000</v>
      </c>
    </row>
    <row r="59" spans="1:12" x14ac:dyDescent="0.25">
      <c r="A59" s="201" t="s">
        <v>171</v>
      </c>
      <c r="B59" s="204">
        <v>0</v>
      </c>
      <c r="C59" s="204">
        <v>0</v>
      </c>
      <c r="D59" s="202">
        <f t="shared" si="25"/>
        <v>0</v>
      </c>
      <c r="E59" s="202"/>
      <c r="F59" s="202"/>
      <c r="G59" s="202"/>
      <c r="H59" s="202">
        <f t="shared" si="26"/>
        <v>0</v>
      </c>
      <c r="I59" s="202">
        <v>0</v>
      </c>
      <c r="J59" s="202"/>
      <c r="K59" s="203">
        <f t="shared" si="27"/>
        <v>0</v>
      </c>
      <c r="L59" s="204">
        <f t="shared" si="28"/>
        <v>0</v>
      </c>
    </row>
    <row r="60" spans="1:12" x14ac:dyDescent="0.25">
      <c r="A60" s="201" t="s">
        <v>98</v>
      </c>
      <c r="B60" s="204">
        <v>117177356.90000001</v>
      </c>
      <c r="C60" s="204">
        <v>0</v>
      </c>
      <c r="D60" s="202">
        <f t="shared" si="25"/>
        <v>117177356.90000001</v>
      </c>
      <c r="E60" s="202"/>
      <c r="F60" s="202"/>
      <c r="G60" s="202"/>
      <c r="H60" s="202">
        <f t="shared" si="26"/>
        <v>0</v>
      </c>
      <c r="I60" s="202">
        <v>11498493.25</v>
      </c>
      <c r="J60" s="202"/>
      <c r="K60" s="203">
        <f t="shared" si="27"/>
        <v>11498493.25</v>
      </c>
      <c r="L60" s="204">
        <f t="shared" si="28"/>
        <v>105678863.65000001</v>
      </c>
    </row>
    <row r="61" spans="1:12" ht="24" x14ac:dyDescent="0.25">
      <c r="A61" s="201" t="s">
        <v>99</v>
      </c>
      <c r="B61" s="204">
        <v>26472325.52</v>
      </c>
      <c r="C61" s="204"/>
      <c r="D61" s="202">
        <f t="shared" si="25"/>
        <v>26472325.52</v>
      </c>
      <c r="E61" s="202"/>
      <c r="F61" s="202"/>
      <c r="G61" s="202"/>
      <c r="H61" s="202">
        <f t="shared" si="26"/>
        <v>0</v>
      </c>
      <c r="I61" s="202">
        <v>1413995.96</v>
      </c>
      <c r="J61" s="202"/>
      <c r="K61" s="203">
        <f t="shared" si="27"/>
        <v>1413995.96</v>
      </c>
      <c r="L61" s="204">
        <f t="shared" si="28"/>
        <v>25058329.559999999</v>
      </c>
    </row>
    <row r="62" spans="1:12" x14ac:dyDescent="0.25">
      <c r="A62" s="205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1:12" ht="24" x14ac:dyDescent="0.25">
      <c r="A63" s="197" t="s">
        <v>100</v>
      </c>
      <c r="B63" s="200">
        <f>SUM(B64:B67)</f>
        <v>15724290</v>
      </c>
      <c r="C63" s="200">
        <f>SUM(C64:C67)</f>
        <v>0</v>
      </c>
      <c r="D63" s="200">
        <f t="shared" ref="D63:L63" si="29">SUM(D64:D67)</f>
        <v>15724290</v>
      </c>
      <c r="E63" s="200">
        <f>(SUM(E64:E67))</f>
        <v>0</v>
      </c>
      <c r="F63" s="200">
        <f t="shared" si="29"/>
        <v>0</v>
      </c>
      <c r="G63" s="200">
        <f t="shared" si="29"/>
        <v>0</v>
      </c>
      <c r="H63" s="200">
        <f t="shared" si="29"/>
        <v>0</v>
      </c>
      <c r="I63" s="200">
        <f>SUM(I64:I67)</f>
        <v>1226999.29</v>
      </c>
      <c r="J63" s="200">
        <f>SUM(J64:J67)</f>
        <v>0</v>
      </c>
      <c r="K63" s="200">
        <f>SUM(K64:K67)</f>
        <v>1226999.29</v>
      </c>
      <c r="L63" s="200">
        <f t="shared" si="29"/>
        <v>14497290.710000001</v>
      </c>
    </row>
    <row r="64" spans="1:12" ht="24" x14ac:dyDescent="0.25">
      <c r="A64" s="201" t="s">
        <v>101</v>
      </c>
      <c r="B64" s="204">
        <v>2100000</v>
      </c>
      <c r="C64" s="204">
        <v>0</v>
      </c>
      <c r="D64" s="202">
        <f>+B64+C64</f>
        <v>2100000</v>
      </c>
      <c r="E64" s="202"/>
      <c r="F64" s="202"/>
      <c r="G64" s="202"/>
      <c r="H64" s="202">
        <f t="shared" ref="H64:H67" si="30">+E64+F64+G64</f>
        <v>0</v>
      </c>
      <c r="I64" s="202">
        <v>109099.29</v>
      </c>
      <c r="J64" s="202"/>
      <c r="K64" s="203">
        <f>+I64+H64</f>
        <v>109099.29</v>
      </c>
      <c r="L64" s="204">
        <f t="shared" ref="L64:L67" si="31">+D64-J64-K64</f>
        <v>1990900.71</v>
      </c>
    </row>
    <row r="65" spans="1:12" x14ac:dyDescent="0.25">
      <c r="A65" s="201" t="s">
        <v>102</v>
      </c>
      <c r="B65" s="204">
        <v>13624290</v>
      </c>
      <c r="C65" s="204">
        <v>0</v>
      </c>
      <c r="D65" s="202">
        <f>+B65+C65</f>
        <v>13624290</v>
      </c>
      <c r="E65" s="202"/>
      <c r="F65" s="202"/>
      <c r="G65" s="202"/>
      <c r="H65" s="202">
        <f t="shared" si="30"/>
        <v>0</v>
      </c>
      <c r="I65" s="202">
        <v>1117900</v>
      </c>
      <c r="J65" s="202"/>
      <c r="K65" s="203">
        <f>+I65+H65</f>
        <v>1117900</v>
      </c>
      <c r="L65" s="204">
        <f t="shared" si="31"/>
        <v>12506390</v>
      </c>
    </row>
    <row r="66" spans="1:12" ht="24" x14ac:dyDescent="0.25">
      <c r="A66" s="201" t="s">
        <v>172</v>
      </c>
      <c r="B66" s="204">
        <v>0</v>
      </c>
      <c r="C66" s="204">
        <v>0</v>
      </c>
      <c r="D66" s="202">
        <f>+B66+C66</f>
        <v>0</v>
      </c>
      <c r="E66" s="202"/>
      <c r="F66" s="202"/>
      <c r="G66" s="202"/>
      <c r="H66" s="202">
        <f t="shared" si="30"/>
        <v>0</v>
      </c>
      <c r="I66" s="202"/>
      <c r="J66" s="202"/>
      <c r="K66" s="203">
        <f>+I66+H66</f>
        <v>0</v>
      </c>
      <c r="L66" s="204">
        <f t="shared" si="31"/>
        <v>0</v>
      </c>
    </row>
    <row r="67" spans="1:12" x14ac:dyDescent="0.25">
      <c r="A67" s="201" t="s">
        <v>103</v>
      </c>
      <c r="B67" s="204">
        <v>0</v>
      </c>
      <c r="C67" s="204">
        <v>0</v>
      </c>
      <c r="D67" s="202">
        <f>+B67+C67</f>
        <v>0</v>
      </c>
      <c r="E67" s="202"/>
      <c r="F67" s="202"/>
      <c r="G67" s="202"/>
      <c r="H67" s="202">
        <f t="shared" si="30"/>
        <v>0</v>
      </c>
      <c r="I67" s="202"/>
      <c r="J67" s="202"/>
      <c r="K67" s="203">
        <f>+I67+H67</f>
        <v>0</v>
      </c>
      <c r="L67" s="204">
        <f t="shared" si="31"/>
        <v>0</v>
      </c>
    </row>
    <row r="68" spans="1:12" x14ac:dyDescent="0.25">
      <c r="A68" s="205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24" x14ac:dyDescent="0.25">
      <c r="A69" s="197" t="s">
        <v>104</v>
      </c>
      <c r="B69" s="200">
        <f>SUM(B70)</f>
        <v>47633465.210000001</v>
      </c>
      <c r="C69" s="200">
        <f>SUM(C70)</f>
        <v>0</v>
      </c>
      <c r="D69" s="200">
        <f t="shared" ref="D69:L69" si="32">SUM(D70)</f>
        <v>47633465.210000001</v>
      </c>
      <c r="E69" s="200">
        <f>(SUM(E70))</f>
        <v>0</v>
      </c>
      <c r="F69" s="200">
        <f t="shared" si="32"/>
        <v>0</v>
      </c>
      <c r="G69" s="200">
        <f t="shared" si="32"/>
        <v>0</v>
      </c>
      <c r="H69" s="200">
        <f t="shared" si="32"/>
        <v>0</v>
      </c>
      <c r="I69" s="200">
        <f>SUM(I70)</f>
        <v>20852417.59</v>
      </c>
      <c r="J69" s="200">
        <f>SUM(J70)</f>
        <v>0</v>
      </c>
      <c r="K69" s="200">
        <f>SUM(K70)</f>
        <v>20852417.59</v>
      </c>
      <c r="L69" s="200">
        <f t="shared" si="32"/>
        <v>26781047.620000001</v>
      </c>
    </row>
    <row r="70" spans="1:12" x14ac:dyDescent="0.25">
      <c r="A70" s="201" t="s">
        <v>105</v>
      </c>
      <c r="B70" s="204">
        <v>47633465.210000001</v>
      </c>
      <c r="C70" s="204">
        <v>0</v>
      </c>
      <c r="D70" s="202">
        <f>+B70+C70</f>
        <v>47633465.210000001</v>
      </c>
      <c r="E70" s="202"/>
      <c r="F70" s="202"/>
      <c r="G70" s="202"/>
      <c r="H70" s="202">
        <f t="shared" ref="H70" si="33">+E70+F70+G70</f>
        <v>0</v>
      </c>
      <c r="I70" s="202">
        <v>20852417.59</v>
      </c>
      <c r="J70" s="202"/>
      <c r="K70" s="203">
        <f>+I70+H70</f>
        <v>20852417.59</v>
      </c>
      <c r="L70" s="204">
        <f t="shared" ref="L70" si="34">+D70-J70-K70</f>
        <v>26781047.620000001</v>
      </c>
    </row>
    <row r="71" spans="1:12" x14ac:dyDescent="0.25">
      <c r="A71" s="205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</row>
    <row r="72" spans="1:12" x14ac:dyDescent="0.25">
      <c r="A72" s="197" t="s">
        <v>106</v>
      </c>
      <c r="B72" s="200">
        <f>SUM(B73:B75)</f>
        <v>7064000</v>
      </c>
      <c r="C72" s="200">
        <f>SUM(C73:C75)</f>
        <v>0</v>
      </c>
      <c r="D72" s="200">
        <f t="shared" ref="D72:L72" si="35">SUM(D73:D75)</f>
        <v>7064000</v>
      </c>
      <c r="E72" s="200">
        <f>(SUM(E73:E75))</f>
        <v>0</v>
      </c>
      <c r="F72" s="200">
        <f t="shared" si="35"/>
        <v>0</v>
      </c>
      <c r="G72" s="200">
        <f t="shared" si="35"/>
        <v>0</v>
      </c>
      <c r="H72" s="200">
        <f t="shared" si="35"/>
        <v>0</v>
      </c>
      <c r="I72" s="200">
        <f>SUM(I73:I75)</f>
        <v>0</v>
      </c>
      <c r="J72" s="200">
        <f>SUM(J73:J75)</f>
        <v>0</v>
      </c>
      <c r="K72" s="200">
        <f>SUM(K73:K75)</f>
        <v>0</v>
      </c>
      <c r="L72" s="200">
        <f t="shared" si="35"/>
        <v>7064000</v>
      </c>
    </row>
    <row r="73" spans="1:12" ht="24" x14ac:dyDescent="0.25">
      <c r="A73" s="201" t="s">
        <v>107</v>
      </c>
      <c r="B73" s="202">
        <v>7000000</v>
      </c>
      <c r="C73" s="204">
        <v>0</v>
      </c>
      <c r="D73" s="202">
        <f>+B73+C73</f>
        <v>7000000</v>
      </c>
      <c r="E73" s="202"/>
      <c r="F73" s="202"/>
      <c r="G73" s="202"/>
      <c r="H73" s="202">
        <f t="shared" ref="H73:H75" si="36">+E73+F73+G73</f>
        <v>0</v>
      </c>
      <c r="I73" s="202">
        <v>0</v>
      </c>
      <c r="J73" s="202"/>
      <c r="K73" s="203">
        <f>+I73+H73</f>
        <v>0</v>
      </c>
      <c r="L73" s="204">
        <f t="shared" ref="L73:L75" si="37">+D73-J73-K73</f>
        <v>7000000</v>
      </c>
    </row>
    <row r="74" spans="1:12" ht="24" x14ac:dyDescent="0.25">
      <c r="A74" s="201" t="s">
        <v>108</v>
      </c>
      <c r="B74" s="202">
        <v>64000</v>
      </c>
      <c r="C74" s="204">
        <v>0</v>
      </c>
      <c r="D74" s="202">
        <f>+B74+C74</f>
        <v>64000</v>
      </c>
      <c r="E74" s="202"/>
      <c r="F74" s="202"/>
      <c r="G74" s="202"/>
      <c r="H74" s="202">
        <f t="shared" si="36"/>
        <v>0</v>
      </c>
      <c r="I74" s="202">
        <v>0</v>
      </c>
      <c r="J74" s="202"/>
      <c r="K74" s="203">
        <f>+I74+H74</f>
        <v>0</v>
      </c>
      <c r="L74" s="204">
        <f t="shared" si="37"/>
        <v>64000</v>
      </c>
    </row>
    <row r="75" spans="1:12" ht="24" x14ac:dyDescent="0.25">
      <c r="A75" s="201" t="s">
        <v>109</v>
      </c>
      <c r="B75" s="204">
        <v>0</v>
      </c>
      <c r="C75" s="204">
        <v>0</v>
      </c>
      <c r="D75" s="202">
        <f>+B75+C75</f>
        <v>0</v>
      </c>
      <c r="E75" s="202"/>
      <c r="F75" s="202"/>
      <c r="G75" s="202"/>
      <c r="H75" s="202">
        <f t="shared" si="36"/>
        <v>0</v>
      </c>
      <c r="I75" s="202"/>
      <c r="J75" s="202"/>
      <c r="K75" s="203">
        <f>+I75+H75</f>
        <v>0</v>
      </c>
      <c r="L75" s="204">
        <f t="shared" si="37"/>
        <v>0</v>
      </c>
    </row>
    <row r="76" spans="1:12" x14ac:dyDescent="0.25">
      <c r="A76" s="205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</row>
    <row r="77" spans="1:12" x14ac:dyDescent="0.25">
      <c r="A77" s="197" t="s">
        <v>110</v>
      </c>
      <c r="B77" s="200">
        <f>SUM(B78:B82)</f>
        <v>43927041.200000003</v>
      </c>
      <c r="C77" s="200">
        <f>SUM(C78:C82)</f>
        <v>0</v>
      </c>
      <c r="D77" s="200">
        <f t="shared" ref="D77:L77" si="38">SUM(D78:D82)</f>
        <v>43927041.200000003</v>
      </c>
      <c r="E77" s="200">
        <f>(SUM(E78:E82))</f>
        <v>0</v>
      </c>
      <c r="F77" s="200">
        <f t="shared" si="38"/>
        <v>0</v>
      </c>
      <c r="G77" s="200">
        <f t="shared" si="38"/>
        <v>0</v>
      </c>
      <c r="H77" s="200">
        <f t="shared" si="38"/>
        <v>0</v>
      </c>
      <c r="I77" s="200">
        <f>SUM(I78:I82)</f>
        <v>2294338.4900000002</v>
      </c>
      <c r="J77" s="200">
        <f>SUM(J78:J82)</f>
        <v>0</v>
      </c>
      <c r="K77" s="200">
        <f>SUM(K78:K82)</f>
        <v>2294338.4900000002</v>
      </c>
      <c r="L77" s="200">
        <f t="shared" si="38"/>
        <v>41632702.710000001</v>
      </c>
    </row>
    <row r="78" spans="1:12" ht="24" x14ac:dyDescent="0.25">
      <c r="A78" s="201" t="s">
        <v>111</v>
      </c>
      <c r="B78" s="202">
        <v>6560733.8099999996</v>
      </c>
      <c r="C78" s="202">
        <v>0</v>
      </c>
      <c r="D78" s="202">
        <f>+B78+C78</f>
        <v>6560733.8099999996</v>
      </c>
      <c r="E78" s="202"/>
      <c r="F78" s="202"/>
      <c r="G78" s="202"/>
      <c r="H78" s="202">
        <f t="shared" ref="H78:H82" si="39">+E78+F78+G78</f>
        <v>0</v>
      </c>
      <c r="I78" s="202">
        <v>0</v>
      </c>
      <c r="J78" s="202"/>
      <c r="K78" s="203">
        <f>+I78+H78</f>
        <v>0</v>
      </c>
      <c r="L78" s="204">
        <f t="shared" ref="L78:L82" si="40">+D78-J78-K78</f>
        <v>6560733.8099999996</v>
      </c>
    </row>
    <row r="79" spans="1:12" ht="24" x14ac:dyDescent="0.25">
      <c r="A79" s="201" t="s">
        <v>112</v>
      </c>
      <c r="B79" s="202">
        <v>20883723.390000001</v>
      </c>
      <c r="C79" s="202">
        <v>0</v>
      </c>
      <c r="D79" s="202">
        <f>+B79+C79</f>
        <v>20883723.390000001</v>
      </c>
      <c r="E79" s="202"/>
      <c r="F79" s="202"/>
      <c r="G79" s="202"/>
      <c r="H79" s="202">
        <f t="shared" si="39"/>
        <v>0</v>
      </c>
      <c r="I79" s="202">
        <v>302231.02</v>
      </c>
      <c r="J79" s="202"/>
      <c r="K79" s="203">
        <f>+I79+H79</f>
        <v>302231.02</v>
      </c>
      <c r="L79" s="204">
        <f t="shared" si="40"/>
        <v>20581492.370000001</v>
      </c>
    </row>
    <row r="80" spans="1:12" x14ac:dyDescent="0.25">
      <c r="A80" s="201" t="s">
        <v>113</v>
      </c>
      <c r="B80" s="202">
        <v>2532584</v>
      </c>
      <c r="C80" s="202">
        <v>0</v>
      </c>
      <c r="D80" s="202">
        <f>+B80+C80</f>
        <v>2532584</v>
      </c>
      <c r="E80" s="202"/>
      <c r="F80" s="202"/>
      <c r="G80" s="202"/>
      <c r="H80" s="202">
        <f t="shared" si="39"/>
        <v>0</v>
      </c>
      <c r="I80" s="202">
        <v>0</v>
      </c>
      <c r="J80" s="202"/>
      <c r="K80" s="203">
        <f>+I80+H80</f>
        <v>0</v>
      </c>
      <c r="L80" s="204">
        <f t="shared" si="40"/>
        <v>2532584</v>
      </c>
    </row>
    <row r="81" spans="1:12" ht="36" x14ac:dyDescent="0.25">
      <c r="A81" s="201" t="s">
        <v>114</v>
      </c>
      <c r="B81" s="202">
        <v>13500000</v>
      </c>
      <c r="C81" s="202">
        <v>0</v>
      </c>
      <c r="D81" s="202">
        <f>+B81+C81</f>
        <v>13500000</v>
      </c>
      <c r="E81" s="202"/>
      <c r="F81" s="202"/>
      <c r="G81" s="202"/>
      <c r="H81" s="202">
        <f t="shared" si="39"/>
        <v>0</v>
      </c>
      <c r="I81" s="202">
        <v>1992107.47</v>
      </c>
      <c r="J81" s="202"/>
      <c r="K81" s="203">
        <f>+I81+H81</f>
        <v>1992107.47</v>
      </c>
      <c r="L81" s="204">
        <f t="shared" si="40"/>
        <v>11507892.529999999</v>
      </c>
    </row>
    <row r="82" spans="1:12" ht="24" x14ac:dyDescent="0.25">
      <c r="A82" s="201" t="s">
        <v>115</v>
      </c>
      <c r="B82" s="202">
        <v>450000</v>
      </c>
      <c r="C82" s="202">
        <v>0</v>
      </c>
      <c r="D82" s="202">
        <f>+B82+C82</f>
        <v>450000</v>
      </c>
      <c r="E82" s="202">
        <v>0</v>
      </c>
      <c r="F82" s="202">
        <v>0</v>
      </c>
      <c r="G82" s="202">
        <v>0</v>
      </c>
      <c r="H82" s="202">
        <f t="shared" si="39"/>
        <v>0</v>
      </c>
      <c r="I82" s="202">
        <v>0</v>
      </c>
      <c r="J82" s="202"/>
      <c r="K82" s="203">
        <f>+I82+H82</f>
        <v>0</v>
      </c>
      <c r="L82" s="204">
        <f t="shared" si="40"/>
        <v>450000</v>
      </c>
    </row>
    <row r="83" spans="1:12" x14ac:dyDescent="0.25">
      <c r="A83" s="205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</row>
    <row r="84" spans="1:12" x14ac:dyDescent="0.25">
      <c r="A84" s="197" t="s">
        <v>116</v>
      </c>
      <c r="B84" s="200">
        <f>+B85</f>
        <v>750000</v>
      </c>
      <c r="C84" s="200">
        <f>+C85</f>
        <v>0</v>
      </c>
      <c r="D84" s="200">
        <f t="shared" ref="D84:L84" si="41">+D85</f>
        <v>750000</v>
      </c>
      <c r="E84" s="200">
        <f>(+E85)</f>
        <v>0</v>
      </c>
      <c r="F84" s="200">
        <f t="shared" si="41"/>
        <v>0</v>
      </c>
      <c r="G84" s="200">
        <f t="shared" si="41"/>
        <v>0</v>
      </c>
      <c r="H84" s="200">
        <f t="shared" si="41"/>
        <v>0</v>
      </c>
      <c r="I84" s="200">
        <f t="shared" si="41"/>
        <v>0</v>
      </c>
      <c r="J84" s="200">
        <f t="shared" si="41"/>
        <v>0</v>
      </c>
      <c r="K84" s="200">
        <f t="shared" si="41"/>
        <v>0</v>
      </c>
      <c r="L84" s="200">
        <f t="shared" si="41"/>
        <v>750000</v>
      </c>
    </row>
    <row r="85" spans="1:12" x14ac:dyDescent="0.25">
      <c r="A85" s="201" t="s">
        <v>117</v>
      </c>
      <c r="B85" s="204">
        <v>750000</v>
      </c>
      <c r="C85" s="204">
        <v>0</v>
      </c>
      <c r="D85" s="202">
        <f>+B85+C85</f>
        <v>750000</v>
      </c>
      <c r="E85" s="202">
        <v>0</v>
      </c>
      <c r="F85" s="202"/>
      <c r="G85" s="202">
        <v>0</v>
      </c>
      <c r="H85" s="204">
        <f>+G85+F85+E85</f>
        <v>0</v>
      </c>
      <c r="I85" s="202">
        <v>0</v>
      </c>
      <c r="J85" s="202"/>
      <c r="K85" s="203">
        <f>+I85+H85</f>
        <v>0</v>
      </c>
      <c r="L85" s="204">
        <f t="shared" ref="L85" si="42">+D85-J85-K85</f>
        <v>750000</v>
      </c>
    </row>
    <row r="86" spans="1:12" x14ac:dyDescent="0.25">
      <c r="A86" s="205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</row>
    <row r="87" spans="1:12" x14ac:dyDescent="0.25">
      <c r="A87" s="197" t="s">
        <v>118</v>
      </c>
      <c r="B87" s="199">
        <f>+B88+B89</f>
        <v>2000000</v>
      </c>
      <c r="C87" s="199">
        <f t="shared" ref="C87:L87" si="43">+C88+C89</f>
        <v>0</v>
      </c>
      <c r="D87" s="199">
        <f t="shared" si="43"/>
        <v>2000000</v>
      </c>
      <c r="E87" s="199">
        <f>(+E88+E89)</f>
        <v>0</v>
      </c>
      <c r="F87" s="199">
        <f t="shared" si="43"/>
        <v>0</v>
      </c>
      <c r="G87" s="199">
        <f t="shared" si="43"/>
        <v>0</v>
      </c>
      <c r="H87" s="199">
        <f t="shared" si="43"/>
        <v>0</v>
      </c>
      <c r="I87" s="199">
        <f>+I88+I89</f>
        <v>0</v>
      </c>
      <c r="J87" s="199">
        <f>+J88+J89</f>
        <v>0</v>
      </c>
      <c r="K87" s="199">
        <f>+K88+K89</f>
        <v>0</v>
      </c>
      <c r="L87" s="199">
        <f t="shared" si="43"/>
        <v>2000000</v>
      </c>
    </row>
    <row r="88" spans="1:12" ht="24" x14ac:dyDescent="0.25">
      <c r="A88" s="201" t="s">
        <v>639</v>
      </c>
      <c r="B88" s="204">
        <v>0</v>
      </c>
      <c r="C88" s="204">
        <v>0</v>
      </c>
      <c r="D88" s="202">
        <f>+B88+C88</f>
        <v>0</v>
      </c>
      <c r="E88" s="204">
        <v>0</v>
      </c>
      <c r="F88" s="204">
        <v>0</v>
      </c>
      <c r="G88" s="204">
        <v>0</v>
      </c>
      <c r="H88" s="202">
        <f t="shared" ref="H88:H89" si="44">+E88+F88+G88</f>
        <v>0</v>
      </c>
      <c r="I88" s="204">
        <v>0</v>
      </c>
      <c r="J88" s="204"/>
      <c r="K88" s="203">
        <f>+I88+H88</f>
        <v>0</v>
      </c>
      <c r="L88" s="204">
        <f t="shared" ref="L88:L89" si="45">+D88-J88-K88</f>
        <v>0</v>
      </c>
    </row>
    <row r="89" spans="1:12" x14ac:dyDescent="0.25">
      <c r="A89" s="201" t="s">
        <v>119</v>
      </c>
      <c r="B89" s="204">
        <v>2000000</v>
      </c>
      <c r="C89" s="204">
        <v>0</v>
      </c>
      <c r="D89" s="202">
        <f>+B89+C89</f>
        <v>2000000</v>
      </c>
      <c r="E89" s="202"/>
      <c r="F89" s="202"/>
      <c r="G89" s="202"/>
      <c r="H89" s="202">
        <f t="shared" si="44"/>
        <v>0</v>
      </c>
      <c r="I89" s="202"/>
      <c r="J89" s="202"/>
      <c r="K89" s="203">
        <f>+I89+H89</f>
        <v>0</v>
      </c>
      <c r="L89" s="204">
        <f t="shared" si="45"/>
        <v>2000000</v>
      </c>
    </row>
    <row r="90" spans="1:12" x14ac:dyDescent="0.25">
      <c r="A90" s="205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</row>
    <row r="91" spans="1:12" x14ac:dyDescent="0.25">
      <c r="A91" s="207" t="s">
        <v>120</v>
      </c>
      <c r="B91" s="206">
        <f>+B92+B98+B101+B110+B114</f>
        <v>42964830.5</v>
      </c>
      <c r="C91" s="206">
        <f>+C92+C98+C101+C110+C114</f>
        <v>0</v>
      </c>
      <c r="D91" s="206">
        <f>+D92+D98+D101+D110+D114</f>
        <v>42964830.5</v>
      </c>
      <c r="E91" s="206">
        <f>(+E92+E98+E101+E110+E114)</f>
        <v>0</v>
      </c>
      <c r="F91" s="206">
        <f t="shared" ref="F91:L91" si="46">+F92+F98+F101+F110+F114</f>
        <v>0</v>
      </c>
      <c r="G91" s="206">
        <f t="shared" si="46"/>
        <v>0</v>
      </c>
      <c r="H91" s="206">
        <f t="shared" si="46"/>
        <v>0</v>
      </c>
      <c r="I91" s="206">
        <f>+I92+I98+I101+I110+I114</f>
        <v>4637704.5999999996</v>
      </c>
      <c r="J91" s="206">
        <f>+J92+J98+J101+J110+J114</f>
        <v>0</v>
      </c>
      <c r="K91" s="206">
        <f t="shared" si="46"/>
        <v>4637704.5999999996</v>
      </c>
      <c r="L91" s="206">
        <f t="shared" si="46"/>
        <v>38327125.899999999</v>
      </c>
    </row>
    <row r="92" spans="1:12" ht="24" x14ac:dyDescent="0.25">
      <c r="A92" s="197" t="s">
        <v>121</v>
      </c>
      <c r="B92" s="200">
        <f>SUM(B93:B96)</f>
        <v>17518085</v>
      </c>
      <c r="C92" s="200">
        <f>SUM(C93:C96)</f>
        <v>0</v>
      </c>
      <c r="D92" s="200">
        <f t="shared" ref="D92:L92" si="47">SUM(D93:D96)</f>
        <v>17518085</v>
      </c>
      <c r="E92" s="200">
        <f>(SUM(E93:E96))</f>
        <v>0</v>
      </c>
      <c r="F92" s="200">
        <f t="shared" si="47"/>
        <v>0</v>
      </c>
      <c r="G92" s="200">
        <f t="shared" si="47"/>
        <v>0</v>
      </c>
      <c r="H92" s="200">
        <f t="shared" si="47"/>
        <v>0</v>
      </c>
      <c r="I92" s="200">
        <f>SUM(I93:I96)</f>
        <v>3474175.84</v>
      </c>
      <c r="J92" s="200">
        <f>SUM(J93:J96)</f>
        <v>0</v>
      </c>
      <c r="K92" s="200">
        <f>SUM(K93:K96)</f>
        <v>3474175.84</v>
      </c>
      <c r="L92" s="200">
        <f t="shared" si="47"/>
        <v>14043909.16</v>
      </c>
    </row>
    <row r="93" spans="1:12" ht="24" x14ac:dyDescent="0.25">
      <c r="A93" s="201" t="s">
        <v>122</v>
      </c>
      <c r="B93" s="202">
        <v>11730000</v>
      </c>
      <c r="C93" s="204">
        <v>0</v>
      </c>
      <c r="D93" s="202">
        <f>+B93+C93</f>
        <v>11730000</v>
      </c>
      <c r="E93" s="202"/>
      <c r="F93" s="202"/>
      <c r="G93" s="202"/>
      <c r="H93" s="202">
        <f t="shared" ref="H93:H96" si="48">+E93+F93+G93</f>
        <v>0</v>
      </c>
      <c r="I93" s="202">
        <v>3091275.34</v>
      </c>
      <c r="J93" s="202"/>
      <c r="K93" s="203">
        <f>+I93+H93</f>
        <v>3091275.34</v>
      </c>
      <c r="L93" s="204">
        <f t="shared" ref="L93:L96" si="49">+D93-J93-K93</f>
        <v>8638724.6600000001</v>
      </c>
    </row>
    <row r="94" spans="1:12" ht="24" x14ac:dyDescent="0.25">
      <c r="A94" s="201" t="s">
        <v>123</v>
      </c>
      <c r="B94" s="202">
        <v>4250000</v>
      </c>
      <c r="C94" s="204">
        <v>0</v>
      </c>
      <c r="D94" s="202">
        <f>+B94+C94</f>
        <v>4250000</v>
      </c>
      <c r="E94" s="202"/>
      <c r="F94" s="202"/>
      <c r="G94" s="202"/>
      <c r="H94" s="202">
        <f t="shared" si="48"/>
        <v>0</v>
      </c>
      <c r="I94" s="202">
        <v>0</v>
      </c>
      <c r="J94" s="202"/>
      <c r="K94" s="203">
        <f>+I94+H94</f>
        <v>0</v>
      </c>
      <c r="L94" s="204">
        <f t="shared" si="49"/>
        <v>4250000</v>
      </c>
    </row>
    <row r="95" spans="1:12" ht="24" x14ac:dyDescent="0.25">
      <c r="A95" s="201" t="s">
        <v>124</v>
      </c>
      <c r="B95" s="202">
        <v>1538085</v>
      </c>
      <c r="C95" s="204">
        <v>0</v>
      </c>
      <c r="D95" s="202">
        <f>+B95+C95</f>
        <v>1538085</v>
      </c>
      <c r="E95" s="202"/>
      <c r="F95" s="202"/>
      <c r="G95" s="202"/>
      <c r="H95" s="202">
        <f t="shared" si="48"/>
        <v>0</v>
      </c>
      <c r="I95" s="202">
        <v>382900.5</v>
      </c>
      <c r="J95" s="202"/>
      <c r="K95" s="203">
        <f>+I95+H95</f>
        <v>382900.5</v>
      </c>
      <c r="L95" s="204">
        <f t="shared" si="49"/>
        <v>1155184.5</v>
      </c>
    </row>
    <row r="96" spans="1:12" ht="24" x14ac:dyDescent="0.25">
      <c r="A96" s="201" t="s">
        <v>125</v>
      </c>
      <c r="B96" s="204">
        <v>0</v>
      </c>
      <c r="C96" s="204">
        <v>0</v>
      </c>
      <c r="D96" s="202">
        <f>+B96+C96</f>
        <v>0</v>
      </c>
      <c r="E96" s="202"/>
      <c r="F96" s="202"/>
      <c r="G96" s="202"/>
      <c r="H96" s="202">
        <f t="shared" si="48"/>
        <v>0</v>
      </c>
      <c r="I96" s="202"/>
      <c r="J96" s="202"/>
      <c r="K96" s="203">
        <f>+I96+H96</f>
        <v>0</v>
      </c>
      <c r="L96" s="204">
        <f t="shared" si="49"/>
        <v>0</v>
      </c>
    </row>
    <row r="97" spans="1:12" x14ac:dyDescent="0.25">
      <c r="A97" s="205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</row>
    <row r="98" spans="1:12" ht="24" x14ac:dyDescent="0.25">
      <c r="A98" s="197" t="s">
        <v>126</v>
      </c>
      <c r="B98" s="200">
        <f>+B99</f>
        <v>1350000</v>
      </c>
      <c r="C98" s="200">
        <f>+C99</f>
        <v>0</v>
      </c>
      <c r="D98" s="200">
        <f t="shared" ref="D98:L98" si="50">+D99</f>
        <v>1350000</v>
      </c>
      <c r="E98" s="200">
        <f>(+E99)</f>
        <v>0</v>
      </c>
      <c r="F98" s="200">
        <f t="shared" si="50"/>
        <v>0</v>
      </c>
      <c r="G98" s="200">
        <f t="shared" si="50"/>
        <v>0</v>
      </c>
      <c r="H98" s="200">
        <f t="shared" si="50"/>
        <v>0</v>
      </c>
      <c r="I98" s="200">
        <f t="shared" si="50"/>
        <v>233218.5</v>
      </c>
      <c r="J98" s="200">
        <f t="shared" si="50"/>
        <v>0</v>
      </c>
      <c r="K98" s="200">
        <f t="shared" si="50"/>
        <v>233218.5</v>
      </c>
      <c r="L98" s="200">
        <f t="shared" si="50"/>
        <v>1116781.5</v>
      </c>
    </row>
    <row r="99" spans="1:12" x14ac:dyDescent="0.25">
      <c r="A99" s="201" t="s">
        <v>127</v>
      </c>
      <c r="B99" s="204">
        <v>1350000</v>
      </c>
      <c r="C99" s="204">
        <v>0</v>
      </c>
      <c r="D99" s="202">
        <f>+B99+C99</f>
        <v>1350000</v>
      </c>
      <c r="E99" s="202"/>
      <c r="F99" s="202"/>
      <c r="G99" s="202"/>
      <c r="H99" s="202">
        <f t="shared" ref="H99" si="51">+E99+F99+G99</f>
        <v>0</v>
      </c>
      <c r="I99" s="202">
        <v>233218.5</v>
      </c>
      <c r="J99" s="202"/>
      <c r="K99" s="203">
        <f>+I99+H99</f>
        <v>233218.5</v>
      </c>
      <c r="L99" s="204">
        <f t="shared" ref="L99" si="52">+D99-J99-K99</f>
        <v>1116781.5</v>
      </c>
    </row>
    <row r="100" spans="1:12" x14ac:dyDescent="0.25">
      <c r="A100" s="205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</row>
    <row r="101" spans="1:12" ht="36" x14ac:dyDescent="0.25">
      <c r="A101" s="197" t="s">
        <v>128</v>
      </c>
      <c r="B101" s="200">
        <f>SUM(B102:B108)</f>
        <v>4367238.5999999996</v>
      </c>
      <c r="C101" s="200">
        <f>SUM(C102:C108)</f>
        <v>0</v>
      </c>
      <c r="D101" s="200">
        <f t="shared" ref="D101:L101" si="53">SUM(D102:D108)</f>
        <v>4367238.5999999996</v>
      </c>
      <c r="E101" s="200">
        <f>(SUM(E102:E108))</f>
        <v>0</v>
      </c>
      <c r="F101" s="200">
        <f t="shared" si="53"/>
        <v>0</v>
      </c>
      <c r="G101" s="200">
        <f t="shared" si="53"/>
        <v>0</v>
      </c>
      <c r="H101" s="200">
        <f t="shared" si="53"/>
        <v>0</v>
      </c>
      <c r="I101" s="200">
        <f>SUM(I102:I108)</f>
        <v>90856.28</v>
      </c>
      <c r="J101" s="200">
        <f>SUM(J102:J108)</f>
        <v>0</v>
      </c>
      <c r="K101" s="200">
        <f>SUM(K102:K108)</f>
        <v>90856.28</v>
      </c>
      <c r="L101" s="200">
        <f t="shared" si="53"/>
        <v>4276382.32</v>
      </c>
    </row>
    <row r="102" spans="1:12" ht="24" x14ac:dyDescent="0.25">
      <c r="A102" s="201" t="s">
        <v>129</v>
      </c>
      <c r="B102" s="202">
        <v>500000</v>
      </c>
      <c r="C102" s="204">
        <v>0</v>
      </c>
      <c r="D102" s="202">
        <f t="shared" ref="D102:D108" si="54">+B102+C102</f>
        <v>500000</v>
      </c>
      <c r="E102" s="202"/>
      <c r="F102" s="202"/>
      <c r="G102" s="202"/>
      <c r="H102" s="202">
        <f t="shared" ref="H102:H108" si="55">+E102+F102+G102</f>
        <v>0</v>
      </c>
      <c r="I102" s="202">
        <v>0</v>
      </c>
      <c r="J102" s="202"/>
      <c r="K102" s="203">
        <f t="shared" ref="K102:K108" si="56">+I102+H102</f>
        <v>0</v>
      </c>
      <c r="L102" s="204">
        <f t="shared" ref="L102:L108" si="57">+D102-J102-K102</f>
        <v>500000</v>
      </c>
    </row>
    <row r="103" spans="1:12" ht="24" x14ac:dyDescent="0.25">
      <c r="A103" s="201" t="s">
        <v>130</v>
      </c>
      <c r="B103" s="202">
        <v>180000</v>
      </c>
      <c r="C103" s="204">
        <v>0</v>
      </c>
      <c r="D103" s="202">
        <f t="shared" si="54"/>
        <v>180000</v>
      </c>
      <c r="E103" s="202"/>
      <c r="F103" s="202"/>
      <c r="G103" s="202"/>
      <c r="H103" s="202">
        <f t="shared" si="55"/>
        <v>0</v>
      </c>
      <c r="I103" s="202">
        <v>0</v>
      </c>
      <c r="J103" s="202"/>
      <c r="K103" s="203">
        <f t="shared" si="56"/>
        <v>0</v>
      </c>
      <c r="L103" s="204">
        <f t="shared" si="57"/>
        <v>180000</v>
      </c>
    </row>
    <row r="104" spans="1:12" x14ac:dyDescent="0.25">
      <c r="A104" s="201" t="s">
        <v>131</v>
      </c>
      <c r="B104" s="202">
        <v>189000</v>
      </c>
      <c r="C104" s="204">
        <v>0</v>
      </c>
      <c r="D104" s="202">
        <f t="shared" si="54"/>
        <v>189000</v>
      </c>
      <c r="E104" s="202"/>
      <c r="F104" s="202"/>
      <c r="G104" s="202"/>
      <c r="H104" s="202">
        <f t="shared" si="55"/>
        <v>0</v>
      </c>
      <c r="I104" s="202"/>
      <c r="J104" s="202"/>
      <c r="K104" s="203">
        <f t="shared" si="56"/>
        <v>0</v>
      </c>
      <c r="L104" s="204">
        <f t="shared" si="57"/>
        <v>189000</v>
      </c>
    </row>
    <row r="105" spans="1:12" ht="24" x14ac:dyDescent="0.25">
      <c r="A105" s="201" t="s">
        <v>132</v>
      </c>
      <c r="B105" s="202">
        <v>850000</v>
      </c>
      <c r="C105" s="204">
        <v>0</v>
      </c>
      <c r="D105" s="202">
        <f t="shared" si="54"/>
        <v>850000</v>
      </c>
      <c r="E105" s="202"/>
      <c r="F105" s="202"/>
      <c r="G105" s="202"/>
      <c r="H105" s="202">
        <f t="shared" si="55"/>
        <v>0</v>
      </c>
      <c r="I105" s="202">
        <v>0</v>
      </c>
      <c r="J105" s="202"/>
      <c r="K105" s="203">
        <f t="shared" si="56"/>
        <v>0</v>
      </c>
      <c r="L105" s="204">
        <f t="shared" si="57"/>
        <v>850000</v>
      </c>
    </row>
    <row r="106" spans="1:12" ht="24" x14ac:dyDescent="0.25">
      <c r="A106" s="201" t="s">
        <v>133</v>
      </c>
      <c r="B106" s="202">
        <v>189000</v>
      </c>
      <c r="C106" s="204">
        <v>0</v>
      </c>
      <c r="D106" s="202">
        <f t="shared" si="54"/>
        <v>189000</v>
      </c>
      <c r="E106" s="202"/>
      <c r="F106" s="202"/>
      <c r="G106" s="202"/>
      <c r="H106" s="202">
        <f t="shared" si="55"/>
        <v>0</v>
      </c>
      <c r="I106" s="202"/>
      <c r="J106" s="202"/>
      <c r="K106" s="203">
        <f t="shared" si="56"/>
        <v>0</v>
      </c>
      <c r="L106" s="204">
        <f t="shared" si="57"/>
        <v>189000</v>
      </c>
    </row>
    <row r="107" spans="1:12" ht="24" x14ac:dyDescent="0.25">
      <c r="A107" s="201" t="s">
        <v>134</v>
      </c>
      <c r="B107" s="202">
        <v>209238.6</v>
      </c>
      <c r="C107" s="204">
        <v>0</v>
      </c>
      <c r="D107" s="202">
        <f t="shared" si="54"/>
        <v>209238.6</v>
      </c>
      <c r="E107" s="202"/>
      <c r="F107" s="202"/>
      <c r="G107" s="202"/>
      <c r="H107" s="202">
        <f t="shared" si="55"/>
        <v>0</v>
      </c>
      <c r="I107" s="202">
        <v>66275</v>
      </c>
      <c r="J107" s="202"/>
      <c r="K107" s="203">
        <f t="shared" si="56"/>
        <v>66275</v>
      </c>
      <c r="L107" s="204">
        <f t="shared" si="57"/>
        <v>142963.6</v>
      </c>
    </row>
    <row r="108" spans="1:12" ht="36" x14ac:dyDescent="0.25">
      <c r="A108" s="201" t="s">
        <v>135</v>
      </c>
      <c r="B108" s="204">
        <v>2250000</v>
      </c>
      <c r="C108" s="204">
        <v>0</v>
      </c>
      <c r="D108" s="202">
        <f t="shared" si="54"/>
        <v>2250000</v>
      </c>
      <c r="E108" s="202"/>
      <c r="F108" s="202"/>
      <c r="G108" s="202"/>
      <c r="H108" s="202">
        <f t="shared" si="55"/>
        <v>0</v>
      </c>
      <c r="I108" s="202">
        <v>24581.279999999999</v>
      </c>
      <c r="J108" s="202"/>
      <c r="K108" s="203">
        <f t="shared" si="56"/>
        <v>24581.279999999999</v>
      </c>
      <c r="L108" s="204">
        <f t="shared" si="57"/>
        <v>2225418.7200000002</v>
      </c>
    </row>
    <row r="109" spans="1:12" x14ac:dyDescent="0.25">
      <c r="A109" s="205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</row>
    <row r="110" spans="1:12" ht="24" x14ac:dyDescent="0.25">
      <c r="A110" s="197" t="s">
        <v>136</v>
      </c>
      <c r="B110" s="200">
        <f>+B111+B112</f>
        <v>11351956.9</v>
      </c>
      <c r="C110" s="200">
        <f>+C111+C112</f>
        <v>0</v>
      </c>
      <c r="D110" s="200">
        <f t="shared" ref="D110:L110" si="58">+D111+D112</f>
        <v>11351956.9</v>
      </c>
      <c r="E110" s="200">
        <f>(+E111+E112)</f>
        <v>0</v>
      </c>
      <c r="F110" s="200">
        <f t="shared" si="58"/>
        <v>0</v>
      </c>
      <c r="G110" s="200">
        <f t="shared" si="58"/>
        <v>0</v>
      </c>
      <c r="H110" s="200">
        <f t="shared" si="58"/>
        <v>0</v>
      </c>
      <c r="I110" s="200">
        <f>+I111+I112</f>
        <v>764718.74</v>
      </c>
      <c r="J110" s="200">
        <f>+J111+J112</f>
        <v>0</v>
      </c>
      <c r="K110" s="200">
        <f>+K111+K112</f>
        <v>764718.74</v>
      </c>
      <c r="L110" s="200">
        <f t="shared" si="58"/>
        <v>10587238.16</v>
      </c>
    </row>
    <row r="111" spans="1:12" ht="24" x14ac:dyDescent="0.25">
      <c r="A111" s="201" t="s">
        <v>137</v>
      </c>
      <c r="B111" s="204">
        <v>1325000</v>
      </c>
      <c r="C111" s="204">
        <v>0</v>
      </c>
      <c r="D111" s="202">
        <f>+B111+C111</f>
        <v>1325000</v>
      </c>
      <c r="E111" s="202"/>
      <c r="F111" s="202"/>
      <c r="G111" s="202"/>
      <c r="H111" s="202">
        <f t="shared" ref="H111:H112" si="59">+E111+F111+G111</f>
        <v>0</v>
      </c>
      <c r="I111" s="202">
        <v>47942.400000000001</v>
      </c>
      <c r="J111" s="202"/>
      <c r="K111" s="203">
        <f>+I111+H111</f>
        <v>47942.400000000001</v>
      </c>
      <c r="L111" s="204">
        <f t="shared" ref="L111:L112" si="60">+D111-J111-K111</f>
        <v>1277057.6000000001</v>
      </c>
    </row>
    <row r="112" spans="1:12" x14ac:dyDescent="0.25">
      <c r="A112" s="201" t="s">
        <v>138</v>
      </c>
      <c r="B112" s="202">
        <v>10026956.9</v>
      </c>
      <c r="C112" s="204">
        <v>0</v>
      </c>
      <c r="D112" s="202">
        <f>+B112+C112</f>
        <v>10026956.9</v>
      </c>
      <c r="E112" s="202"/>
      <c r="F112" s="202"/>
      <c r="G112" s="202"/>
      <c r="H112" s="202">
        <f t="shared" si="59"/>
        <v>0</v>
      </c>
      <c r="I112" s="202">
        <v>716776.34</v>
      </c>
      <c r="J112" s="202"/>
      <c r="K112" s="203">
        <f>+I112+H112</f>
        <v>716776.34</v>
      </c>
      <c r="L112" s="204">
        <f t="shared" si="60"/>
        <v>9310180.5600000005</v>
      </c>
    </row>
    <row r="113" spans="1:12" x14ac:dyDescent="0.25">
      <c r="A113" s="205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</row>
    <row r="114" spans="1:12" ht="24" x14ac:dyDescent="0.25">
      <c r="A114" s="197" t="s">
        <v>139</v>
      </c>
      <c r="B114" s="200">
        <f>SUM(B115:B122)</f>
        <v>8377550</v>
      </c>
      <c r="C114" s="200">
        <f>SUM(C115:C122)</f>
        <v>0</v>
      </c>
      <c r="D114" s="200">
        <f t="shared" ref="D114:L114" si="61">SUM(D115:D122)</f>
        <v>8377550</v>
      </c>
      <c r="E114" s="200">
        <f>(SUM(E115:E122))</f>
        <v>0</v>
      </c>
      <c r="F114" s="200">
        <f t="shared" si="61"/>
        <v>0</v>
      </c>
      <c r="G114" s="200">
        <f t="shared" si="61"/>
        <v>0</v>
      </c>
      <c r="H114" s="200">
        <f t="shared" si="61"/>
        <v>0</v>
      </c>
      <c r="I114" s="200">
        <f>SUM(I115:I122)</f>
        <v>74735.240000000005</v>
      </c>
      <c r="J114" s="200">
        <f>SUM(J115:J122)</f>
        <v>0</v>
      </c>
      <c r="K114" s="200">
        <f>SUM(K115:K122)</f>
        <v>74735.240000000005</v>
      </c>
      <c r="L114" s="200">
        <f t="shared" si="61"/>
        <v>8302814.7599999998</v>
      </c>
    </row>
    <row r="115" spans="1:12" ht="24" x14ac:dyDescent="0.25">
      <c r="A115" s="201" t="s">
        <v>140</v>
      </c>
      <c r="B115" s="202">
        <v>595000</v>
      </c>
      <c r="C115" s="204">
        <v>0</v>
      </c>
      <c r="D115" s="202">
        <f t="shared" ref="D115:D122" si="62">+B115+C115</f>
        <v>595000</v>
      </c>
      <c r="E115" s="202"/>
      <c r="F115" s="202"/>
      <c r="G115" s="202"/>
      <c r="H115" s="202">
        <f t="shared" ref="H115:H122" si="63">+E115+F115+G115</f>
        <v>0</v>
      </c>
      <c r="I115" s="202">
        <v>0</v>
      </c>
      <c r="J115" s="202"/>
      <c r="K115" s="203">
        <f t="shared" ref="K115:K122" si="64">+I115+H115</f>
        <v>0</v>
      </c>
      <c r="L115" s="204">
        <f t="shared" ref="L115:L122" si="65">+D115-J115-K115</f>
        <v>595000</v>
      </c>
    </row>
    <row r="116" spans="1:12" ht="24" x14ac:dyDescent="0.25">
      <c r="A116" s="201" t="s">
        <v>656</v>
      </c>
      <c r="B116" s="202">
        <v>0</v>
      </c>
      <c r="C116" s="204">
        <v>0</v>
      </c>
      <c r="D116" s="202">
        <f t="shared" si="62"/>
        <v>0</v>
      </c>
      <c r="E116" s="202"/>
      <c r="F116" s="202"/>
      <c r="G116" s="202"/>
      <c r="H116" s="202">
        <f t="shared" si="63"/>
        <v>0</v>
      </c>
      <c r="I116" s="202"/>
      <c r="J116" s="202"/>
      <c r="K116" s="203">
        <f t="shared" si="64"/>
        <v>0</v>
      </c>
      <c r="L116" s="204">
        <f t="shared" si="65"/>
        <v>0</v>
      </c>
    </row>
    <row r="117" spans="1:12" ht="24" x14ac:dyDescent="0.25">
      <c r="A117" s="201" t="s">
        <v>141</v>
      </c>
      <c r="B117" s="202">
        <v>3969750</v>
      </c>
      <c r="C117" s="204">
        <v>0</v>
      </c>
      <c r="D117" s="202">
        <f t="shared" si="62"/>
        <v>3969750</v>
      </c>
      <c r="E117" s="202"/>
      <c r="F117" s="202"/>
      <c r="G117" s="202"/>
      <c r="H117" s="202">
        <f t="shared" si="63"/>
        <v>0</v>
      </c>
      <c r="I117" s="202">
        <v>74735.240000000005</v>
      </c>
      <c r="J117" s="202"/>
      <c r="K117" s="203">
        <f t="shared" si="64"/>
        <v>74735.240000000005</v>
      </c>
      <c r="L117" s="204">
        <f t="shared" si="65"/>
        <v>3895014.76</v>
      </c>
    </row>
    <row r="118" spans="1:12" x14ac:dyDescent="0.25">
      <c r="A118" s="201" t="s">
        <v>142</v>
      </c>
      <c r="B118" s="202"/>
      <c r="C118" s="204">
        <v>0</v>
      </c>
      <c r="D118" s="202">
        <f t="shared" si="62"/>
        <v>0</v>
      </c>
      <c r="E118" s="202"/>
      <c r="F118" s="202"/>
      <c r="G118" s="202"/>
      <c r="H118" s="202">
        <f t="shared" si="63"/>
        <v>0</v>
      </c>
      <c r="I118" s="202">
        <v>0</v>
      </c>
      <c r="J118" s="202"/>
      <c r="K118" s="203">
        <f t="shared" si="64"/>
        <v>0</v>
      </c>
      <c r="L118" s="204">
        <f t="shared" si="65"/>
        <v>0</v>
      </c>
    </row>
    <row r="119" spans="1:12" ht="24" x14ac:dyDescent="0.25">
      <c r="A119" s="201" t="s">
        <v>143</v>
      </c>
      <c r="B119" s="202">
        <v>3450000</v>
      </c>
      <c r="C119" s="204">
        <v>0</v>
      </c>
      <c r="D119" s="202">
        <f t="shared" si="62"/>
        <v>3450000</v>
      </c>
      <c r="E119" s="202"/>
      <c r="F119" s="202"/>
      <c r="G119" s="202"/>
      <c r="H119" s="202">
        <f t="shared" si="63"/>
        <v>0</v>
      </c>
      <c r="I119" s="202">
        <v>0</v>
      </c>
      <c r="J119" s="202"/>
      <c r="K119" s="203">
        <f t="shared" si="64"/>
        <v>0</v>
      </c>
      <c r="L119" s="204">
        <f t="shared" si="65"/>
        <v>3450000</v>
      </c>
    </row>
    <row r="120" spans="1:12" ht="24" x14ac:dyDescent="0.25">
      <c r="A120" s="201" t="s">
        <v>144</v>
      </c>
      <c r="B120" s="202">
        <v>325000</v>
      </c>
      <c r="C120" s="204">
        <v>0</v>
      </c>
      <c r="D120" s="202">
        <f t="shared" si="62"/>
        <v>325000</v>
      </c>
      <c r="E120" s="202"/>
      <c r="F120" s="202"/>
      <c r="G120" s="202"/>
      <c r="H120" s="202">
        <f t="shared" si="63"/>
        <v>0</v>
      </c>
      <c r="I120" s="202">
        <v>0</v>
      </c>
      <c r="J120" s="202"/>
      <c r="K120" s="203">
        <f t="shared" si="64"/>
        <v>0</v>
      </c>
      <c r="L120" s="204">
        <f t="shared" si="65"/>
        <v>325000</v>
      </c>
    </row>
    <row r="121" spans="1:12" ht="24" x14ac:dyDescent="0.25">
      <c r="A121" s="201" t="s">
        <v>145</v>
      </c>
      <c r="B121" s="202">
        <v>37800</v>
      </c>
      <c r="C121" s="204">
        <v>0</v>
      </c>
      <c r="D121" s="202">
        <f t="shared" si="62"/>
        <v>37800</v>
      </c>
      <c r="E121" s="202"/>
      <c r="F121" s="202"/>
      <c r="G121" s="202"/>
      <c r="H121" s="202">
        <f t="shared" si="63"/>
        <v>0</v>
      </c>
      <c r="I121" s="202">
        <v>0</v>
      </c>
      <c r="J121" s="202"/>
      <c r="K121" s="203">
        <f t="shared" si="64"/>
        <v>0</v>
      </c>
      <c r="L121" s="204">
        <f t="shared" si="65"/>
        <v>37800</v>
      </c>
    </row>
    <row r="122" spans="1:12" ht="24" x14ac:dyDescent="0.25">
      <c r="A122" s="201" t="s">
        <v>146</v>
      </c>
      <c r="B122" s="202">
        <v>0</v>
      </c>
      <c r="C122" s="204">
        <v>0</v>
      </c>
      <c r="D122" s="202">
        <f t="shared" si="62"/>
        <v>0</v>
      </c>
      <c r="E122" s="202"/>
      <c r="F122" s="202"/>
      <c r="G122" s="202"/>
      <c r="H122" s="202">
        <f t="shared" si="63"/>
        <v>0</v>
      </c>
      <c r="I122" s="202">
        <v>0</v>
      </c>
      <c r="J122" s="202"/>
      <c r="K122" s="203">
        <f t="shared" si="64"/>
        <v>0</v>
      </c>
      <c r="L122" s="204">
        <f t="shared" si="65"/>
        <v>0</v>
      </c>
    </row>
    <row r="123" spans="1:12" x14ac:dyDescent="0.25">
      <c r="A123" s="205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</row>
    <row r="124" spans="1:12" x14ac:dyDescent="0.25">
      <c r="A124" s="197" t="s">
        <v>147</v>
      </c>
      <c r="B124" s="206">
        <f>+B125+B135+B139</f>
        <v>238108000</v>
      </c>
      <c r="C124" s="206">
        <f>+C125+C135+C139</f>
        <v>0</v>
      </c>
      <c r="D124" s="206">
        <f>+D125+D135+D139</f>
        <v>238108000</v>
      </c>
      <c r="E124" s="206">
        <f>(+E125+E135+E139)</f>
        <v>0</v>
      </c>
      <c r="F124" s="206">
        <f t="shared" ref="F124:L124" si="66">+F125+F135+F139</f>
        <v>0</v>
      </c>
      <c r="G124" s="206">
        <f t="shared" si="66"/>
        <v>0</v>
      </c>
      <c r="H124" s="206">
        <f t="shared" si="66"/>
        <v>0</v>
      </c>
      <c r="I124" s="206">
        <f>+I125+I135+I139</f>
        <v>121900</v>
      </c>
      <c r="J124" s="206">
        <f>+J125+J135+J139</f>
        <v>0</v>
      </c>
      <c r="K124" s="206">
        <f t="shared" si="66"/>
        <v>121900</v>
      </c>
      <c r="L124" s="206">
        <f t="shared" si="66"/>
        <v>237986100</v>
      </c>
    </row>
    <row r="125" spans="1:12" ht="24" x14ac:dyDescent="0.25">
      <c r="A125" s="197" t="s">
        <v>148</v>
      </c>
      <c r="B125" s="200">
        <f>SUM(B126:B133)</f>
        <v>129108000</v>
      </c>
      <c r="C125" s="200">
        <f>SUM(C126:C133)</f>
        <v>0</v>
      </c>
      <c r="D125" s="200">
        <f t="shared" ref="D125:L125" si="67">SUM(D126:D133)</f>
        <v>129108000</v>
      </c>
      <c r="E125" s="200">
        <f>(SUM(E126:E133))</f>
        <v>0</v>
      </c>
      <c r="F125" s="200">
        <f t="shared" si="67"/>
        <v>0</v>
      </c>
      <c r="G125" s="200">
        <f t="shared" si="67"/>
        <v>0</v>
      </c>
      <c r="H125" s="200">
        <f t="shared" si="67"/>
        <v>0</v>
      </c>
      <c r="I125" s="200">
        <f>SUM(I126:I133)</f>
        <v>121900</v>
      </c>
      <c r="J125" s="200">
        <f>SUM(J126:J133)</f>
        <v>0</v>
      </c>
      <c r="K125" s="200">
        <f>SUM(K126:K133)</f>
        <v>121900</v>
      </c>
      <c r="L125" s="200">
        <f t="shared" si="67"/>
        <v>128986100</v>
      </c>
    </row>
    <row r="126" spans="1:12" ht="24" x14ac:dyDescent="0.25">
      <c r="A126" s="201" t="s">
        <v>149</v>
      </c>
      <c r="B126" s="204">
        <v>970000</v>
      </c>
      <c r="C126" s="204">
        <v>0</v>
      </c>
      <c r="D126" s="202">
        <f t="shared" ref="D126:D133" si="68">+B126+C126</f>
        <v>970000</v>
      </c>
      <c r="E126" s="202"/>
      <c r="F126" s="202"/>
      <c r="G126" s="202"/>
      <c r="H126" s="202">
        <f t="shared" ref="H126:H133" si="69">+E126+F126+G126</f>
        <v>0</v>
      </c>
      <c r="I126" s="202">
        <v>0</v>
      </c>
      <c r="J126" s="202"/>
      <c r="K126" s="203">
        <f t="shared" ref="K126:K133" si="70">+I126+H126</f>
        <v>0</v>
      </c>
      <c r="L126" s="204">
        <f t="shared" ref="L126:L133" si="71">+D126-J126-K126</f>
        <v>970000</v>
      </c>
    </row>
    <row r="127" spans="1:12" x14ac:dyDescent="0.25">
      <c r="A127" s="201" t="s">
        <v>150</v>
      </c>
      <c r="B127" s="204">
        <v>61150000</v>
      </c>
      <c r="C127" s="204">
        <v>0</v>
      </c>
      <c r="D127" s="202">
        <f t="shared" si="68"/>
        <v>61150000</v>
      </c>
      <c r="E127" s="202"/>
      <c r="F127" s="202"/>
      <c r="G127" s="202"/>
      <c r="H127" s="202">
        <f t="shared" si="69"/>
        <v>0</v>
      </c>
      <c r="I127" s="202">
        <v>121900</v>
      </c>
      <c r="J127" s="202"/>
      <c r="K127" s="203">
        <f t="shared" si="70"/>
        <v>121900</v>
      </c>
      <c r="L127" s="204">
        <f t="shared" si="71"/>
        <v>61028100</v>
      </c>
    </row>
    <row r="128" spans="1:12" x14ac:dyDescent="0.25">
      <c r="A128" s="201" t="s">
        <v>151</v>
      </c>
      <c r="B128" s="204">
        <v>0</v>
      </c>
      <c r="C128" s="204">
        <v>0</v>
      </c>
      <c r="D128" s="202">
        <f t="shared" si="68"/>
        <v>0</v>
      </c>
      <c r="E128" s="202"/>
      <c r="F128" s="202"/>
      <c r="G128" s="202"/>
      <c r="H128" s="202">
        <f t="shared" si="69"/>
        <v>0</v>
      </c>
      <c r="I128" s="202">
        <v>0</v>
      </c>
      <c r="J128" s="202"/>
      <c r="K128" s="203">
        <f t="shared" si="70"/>
        <v>0</v>
      </c>
      <c r="L128" s="204">
        <f t="shared" si="71"/>
        <v>0</v>
      </c>
    </row>
    <row r="129" spans="1:12" ht="24" x14ac:dyDescent="0.25">
      <c r="A129" s="201" t="s">
        <v>152</v>
      </c>
      <c r="B129" s="204">
        <v>7488000</v>
      </c>
      <c r="C129" s="204">
        <v>0</v>
      </c>
      <c r="D129" s="202">
        <f t="shared" si="68"/>
        <v>7488000</v>
      </c>
      <c r="E129" s="202"/>
      <c r="F129" s="202"/>
      <c r="G129" s="202"/>
      <c r="H129" s="202">
        <f t="shared" si="69"/>
        <v>0</v>
      </c>
      <c r="I129" s="202">
        <v>0</v>
      </c>
      <c r="J129" s="202"/>
      <c r="K129" s="203">
        <f t="shared" si="70"/>
        <v>0</v>
      </c>
      <c r="L129" s="204">
        <f t="shared" si="71"/>
        <v>7488000</v>
      </c>
    </row>
    <row r="130" spans="1:12" x14ac:dyDescent="0.25">
      <c r="A130" s="201" t="s">
        <v>153</v>
      </c>
      <c r="B130" s="204">
        <v>59500000</v>
      </c>
      <c r="C130" s="204">
        <v>0</v>
      </c>
      <c r="D130" s="202">
        <f t="shared" si="68"/>
        <v>59500000</v>
      </c>
      <c r="E130" s="202"/>
      <c r="F130" s="202"/>
      <c r="G130" s="202"/>
      <c r="H130" s="202">
        <f t="shared" si="69"/>
        <v>0</v>
      </c>
      <c r="I130" s="202">
        <v>0</v>
      </c>
      <c r="J130" s="202"/>
      <c r="K130" s="203">
        <f t="shared" si="70"/>
        <v>0</v>
      </c>
      <c r="L130" s="204">
        <f t="shared" si="71"/>
        <v>59500000</v>
      </c>
    </row>
    <row r="131" spans="1:12" ht="24" x14ac:dyDescent="0.25">
      <c r="A131" s="201" t="s">
        <v>657</v>
      </c>
      <c r="B131" s="204">
        <v>0</v>
      </c>
      <c r="C131" s="204">
        <v>0</v>
      </c>
      <c r="D131" s="202">
        <f t="shared" si="68"/>
        <v>0</v>
      </c>
      <c r="E131" s="202"/>
      <c r="F131" s="202"/>
      <c r="G131" s="202"/>
      <c r="H131" s="202">
        <f t="shared" si="69"/>
        <v>0</v>
      </c>
      <c r="I131" s="202">
        <v>0</v>
      </c>
      <c r="J131" s="202"/>
      <c r="K131" s="203">
        <f t="shared" ref="K131:K132" si="72">+I131+H131</f>
        <v>0</v>
      </c>
      <c r="L131" s="204">
        <f t="shared" si="71"/>
        <v>0</v>
      </c>
    </row>
    <row r="132" spans="1:12" ht="24" x14ac:dyDescent="0.25">
      <c r="A132" s="201" t="s">
        <v>658</v>
      </c>
      <c r="B132" s="204">
        <v>0</v>
      </c>
      <c r="C132" s="204">
        <v>0</v>
      </c>
      <c r="D132" s="202">
        <f t="shared" si="68"/>
        <v>0</v>
      </c>
      <c r="E132" s="202"/>
      <c r="F132" s="202"/>
      <c r="G132" s="202"/>
      <c r="H132" s="202">
        <f t="shared" si="69"/>
        <v>0</v>
      </c>
      <c r="I132" s="202">
        <v>0</v>
      </c>
      <c r="J132" s="202"/>
      <c r="K132" s="203">
        <f t="shared" si="72"/>
        <v>0</v>
      </c>
      <c r="L132" s="204">
        <f t="shared" si="71"/>
        <v>0</v>
      </c>
    </row>
    <row r="133" spans="1:12" ht="24" x14ac:dyDescent="0.25">
      <c r="A133" s="201" t="s">
        <v>154</v>
      </c>
      <c r="B133" s="204">
        <v>0</v>
      </c>
      <c r="C133" s="204">
        <v>0</v>
      </c>
      <c r="D133" s="202">
        <f t="shared" si="68"/>
        <v>0</v>
      </c>
      <c r="E133" s="202"/>
      <c r="F133" s="202"/>
      <c r="G133" s="202"/>
      <c r="H133" s="202">
        <f t="shared" si="69"/>
        <v>0</v>
      </c>
      <c r="I133" s="202">
        <v>0</v>
      </c>
      <c r="J133" s="202"/>
      <c r="K133" s="203">
        <f t="shared" si="70"/>
        <v>0</v>
      </c>
      <c r="L133" s="204">
        <f t="shared" si="71"/>
        <v>0</v>
      </c>
    </row>
    <row r="134" spans="1:12" x14ac:dyDescent="0.25">
      <c r="A134" s="205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</row>
    <row r="135" spans="1:12" ht="24" x14ac:dyDescent="0.25">
      <c r="A135" s="197" t="s">
        <v>155</v>
      </c>
      <c r="B135" s="200">
        <f>SUM(B136:B137)</f>
        <v>27000000</v>
      </c>
      <c r="C135" s="200">
        <f>SUM(C136:C137)</f>
        <v>0</v>
      </c>
      <c r="D135" s="200">
        <f t="shared" ref="D135:L135" si="73">SUM(D136:D137)</f>
        <v>27000000</v>
      </c>
      <c r="E135" s="200">
        <f>(SUM(E136:E137))</f>
        <v>0</v>
      </c>
      <c r="F135" s="200">
        <f t="shared" si="73"/>
        <v>0</v>
      </c>
      <c r="G135" s="200">
        <f t="shared" si="73"/>
        <v>0</v>
      </c>
      <c r="H135" s="200">
        <f t="shared" si="73"/>
        <v>0</v>
      </c>
      <c r="I135" s="200">
        <f>SUM(I136:I137)</f>
        <v>0</v>
      </c>
      <c r="J135" s="200">
        <f>SUM(J136:J137)</f>
        <v>0</v>
      </c>
      <c r="K135" s="200">
        <f>SUM(K136:K137)</f>
        <v>0</v>
      </c>
      <c r="L135" s="200">
        <f t="shared" si="73"/>
        <v>27000000</v>
      </c>
    </row>
    <row r="136" spans="1:12" x14ac:dyDescent="0.25">
      <c r="A136" s="201" t="s">
        <v>156</v>
      </c>
      <c r="B136" s="204">
        <v>0</v>
      </c>
      <c r="C136" s="204">
        <v>0</v>
      </c>
      <c r="D136" s="202">
        <f>+B136+C136</f>
        <v>0</v>
      </c>
      <c r="E136" s="202"/>
      <c r="F136" s="202"/>
      <c r="G136" s="202"/>
      <c r="H136" s="202">
        <f t="shared" ref="H136:H137" si="74">+E136+F136+G136</f>
        <v>0</v>
      </c>
      <c r="I136" s="202">
        <v>0</v>
      </c>
      <c r="J136" s="202"/>
      <c r="K136" s="203">
        <f>+I136+H136</f>
        <v>0</v>
      </c>
      <c r="L136" s="204">
        <f t="shared" ref="L136:L137" si="75">+D136-J136-K136</f>
        <v>0</v>
      </c>
    </row>
    <row r="137" spans="1:12" ht="24" x14ac:dyDescent="0.25">
      <c r="A137" s="201" t="s">
        <v>659</v>
      </c>
      <c r="B137" s="204">
        <v>27000000</v>
      </c>
      <c r="C137" s="204">
        <v>0</v>
      </c>
      <c r="D137" s="202">
        <f>+B137+C137</f>
        <v>27000000</v>
      </c>
      <c r="E137" s="202"/>
      <c r="F137" s="202"/>
      <c r="G137" s="202"/>
      <c r="H137" s="202">
        <f t="shared" si="74"/>
        <v>0</v>
      </c>
      <c r="I137" s="202">
        <v>0</v>
      </c>
      <c r="J137" s="202"/>
      <c r="K137" s="203">
        <f>+I137+H137</f>
        <v>0</v>
      </c>
      <c r="L137" s="204">
        <f t="shared" si="75"/>
        <v>27000000</v>
      </c>
    </row>
    <row r="138" spans="1:12" x14ac:dyDescent="0.25">
      <c r="A138" s="205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</row>
    <row r="139" spans="1:12" x14ac:dyDescent="0.25">
      <c r="A139" s="197" t="s">
        <v>158</v>
      </c>
      <c r="B139" s="200">
        <f>+B140</f>
        <v>82000000</v>
      </c>
      <c r="C139" s="200">
        <f>+C140</f>
        <v>0</v>
      </c>
      <c r="D139" s="200">
        <f t="shared" ref="D139:L139" si="76">+D140</f>
        <v>82000000</v>
      </c>
      <c r="E139" s="200">
        <f>(+E140)</f>
        <v>0</v>
      </c>
      <c r="F139" s="200">
        <f t="shared" si="76"/>
        <v>0</v>
      </c>
      <c r="G139" s="200">
        <f t="shared" si="76"/>
        <v>0</v>
      </c>
      <c r="H139" s="200">
        <f t="shared" si="76"/>
        <v>0</v>
      </c>
      <c r="I139" s="200">
        <f>+I140</f>
        <v>0</v>
      </c>
      <c r="J139" s="200">
        <f>+J140</f>
        <v>0</v>
      </c>
      <c r="K139" s="200">
        <f t="shared" si="76"/>
        <v>0</v>
      </c>
      <c r="L139" s="200">
        <f t="shared" si="76"/>
        <v>82000000</v>
      </c>
    </row>
    <row r="140" spans="1:12" x14ac:dyDescent="0.25">
      <c r="A140" s="201" t="s">
        <v>159</v>
      </c>
      <c r="B140" s="204">
        <v>82000000</v>
      </c>
      <c r="C140" s="204">
        <v>0</v>
      </c>
      <c r="D140" s="202">
        <f>+B140+C140</f>
        <v>82000000</v>
      </c>
      <c r="E140" s="202"/>
      <c r="F140" s="202"/>
      <c r="G140" s="202"/>
      <c r="H140" s="204">
        <f>+G140+F140+E140</f>
        <v>0</v>
      </c>
      <c r="I140" s="202">
        <v>0</v>
      </c>
      <c r="J140" s="202"/>
      <c r="K140" s="203">
        <f>+I140+H140</f>
        <v>0</v>
      </c>
      <c r="L140" s="204">
        <f t="shared" ref="L140" si="77">+D140-J140-K140</f>
        <v>82000000</v>
      </c>
    </row>
    <row r="141" spans="1:12" x14ac:dyDescent="0.25">
      <c r="A141" s="205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</row>
    <row r="142" spans="1:12" x14ac:dyDescent="0.25">
      <c r="A142" s="207" t="s">
        <v>160</v>
      </c>
      <c r="B142" s="206">
        <f t="shared" ref="B142:L142" si="78">+B143+B146+B150</f>
        <v>72098617</v>
      </c>
      <c r="C142" s="206">
        <f t="shared" si="78"/>
        <v>0</v>
      </c>
      <c r="D142" s="206">
        <f t="shared" si="78"/>
        <v>72098617</v>
      </c>
      <c r="E142" s="206">
        <f t="shared" si="78"/>
        <v>0</v>
      </c>
      <c r="F142" s="206">
        <f t="shared" si="78"/>
        <v>0</v>
      </c>
      <c r="G142" s="206">
        <f t="shared" si="78"/>
        <v>0</v>
      </c>
      <c r="H142" s="206">
        <f t="shared" si="78"/>
        <v>0</v>
      </c>
      <c r="I142" s="206">
        <f>+I143+I146+I150</f>
        <v>3272535.08</v>
      </c>
      <c r="J142" s="206">
        <f>+J143+J146+J150</f>
        <v>0</v>
      </c>
      <c r="K142" s="206">
        <f>+K143+K146+K150</f>
        <v>3272535.08</v>
      </c>
      <c r="L142" s="206">
        <f t="shared" si="78"/>
        <v>68826081.920000002</v>
      </c>
    </row>
    <row r="143" spans="1:12" ht="24" x14ac:dyDescent="0.25">
      <c r="A143" s="197" t="s">
        <v>667</v>
      </c>
      <c r="B143" s="200">
        <f>+B144</f>
        <v>32589233</v>
      </c>
      <c r="C143" s="200">
        <f>+C144</f>
        <v>0</v>
      </c>
      <c r="D143" s="200">
        <f t="shared" ref="D143:L143" si="79">+D144</f>
        <v>32589233</v>
      </c>
      <c r="E143" s="200">
        <f>(+E144)</f>
        <v>0</v>
      </c>
      <c r="F143" s="200">
        <f t="shared" si="79"/>
        <v>0</v>
      </c>
      <c r="G143" s="200">
        <f t="shared" si="79"/>
        <v>0</v>
      </c>
      <c r="H143" s="200">
        <f t="shared" si="79"/>
        <v>0</v>
      </c>
      <c r="I143" s="200">
        <f>+I144</f>
        <v>0</v>
      </c>
      <c r="J143" s="200">
        <f>+J144</f>
        <v>0</v>
      </c>
      <c r="K143" s="200">
        <f t="shared" si="79"/>
        <v>0</v>
      </c>
      <c r="L143" s="200">
        <f t="shared" si="79"/>
        <v>32589233</v>
      </c>
    </row>
    <row r="144" spans="1:12" ht="48" x14ac:dyDescent="0.25">
      <c r="A144" s="201" t="s">
        <v>679</v>
      </c>
      <c r="B144" s="204">
        <v>32589233</v>
      </c>
      <c r="C144" s="204"/>
      <c r="D144" s="202">
        <f>+B144+C144</f>
        <v>32589233</v>
      </c>
      <c r="E144" s="202"/>
      <c r="F144" s="202"/>
      <c r="G144" s="202"/>
      <c r="H144" s="202">
        <f t="shared" ref="H144" si="80">+E144+F144+G144</f>
        <v>0</v>
      </c>
      <c r="I144" s="202">
        <v>0</v>
      </c>
      <c r="J144" s="202"/>
      <c r="K144" s="203">
        <f>+I144+H144</f>
        <v>0</v>
      </c>
      <c r="L144" s="204">
        <f t="shared" ref="L144" si="81">+D144-J144-K144</f>
        <v>32589233</v>
      </c>
    </row>
    <row r="145" spans="1:15" x14ac:dyDescent="0.25">
      <c r="A145" s="205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</row>
    <row r="146" spans="1:15" x14ac:dyDescent="0.25">
      <c r="A146" s="197" t="s">
        <v>161</v>
      </c>
      <c r="B146" s="200">
        <f>+B148+B147</f>
        <v>37311093</v>
      </c>
      <c r="C146" s="200">
        <f>+C148+C147</f>
        <v>0</v>
      </c>
      <c r="D146" s="200">
        <f>+D148+D147</f>
        <v>37311093</v>
      </c>
      <c r="E146" s="200">
        <f>(+E148+E147)</f>
        <v>0</v>
      </c>
      <c r="F146" s="200">
        <f t="shared" ref="F146:L146" si="82">+F148+F147</f>
        <v>0</v>
      </c>
      <c r="G146" s="200">
        <f t="shared" si="82"/>
        <v>0</v>
      </c>
      <c r="H146" s="200">
        <f t="shared" si="82"/>
        <v>0</v>
      </c>
      <c r="I146" s="200">
        <f>+I148+I147</f>
        <v>3272535.08</v>
      </c>
      <c r="J146" s="200">
        <f>+J148+J147</f>
        <v>0</v>
      </c>
      <c r="K146" s="200">
        <f>+K148+K147</f>
        <v>3272535.08</v>
      </c>
      <c r="L146" s="200">
        <f t="shared" si="82"/>
        <v>34038557.920000002</v>
      </c>
    </row>
    <row r="147" spans="1:15" x14ac:dyDescent="0.25">
      <c r="A147" s="201" t="s">
        <v>162</v>
      </c>
      <c r="B147" s="204">
        <v>18168315</v>
      </c>
      <c r="C147" s="204">
        <v>0</v>
      </c>
      <c r="D147" s="202">
        <f>+B147+C147</f>
        <v>18168315</v>
      </c>
      <c r="E147" s="202"/>
      <c r="F147" s="202"/>
      <c r="G147" s="202"/>
      <c r="H147" s="202">
        <f t="shared" ref="H147" si="83">+E147+F147+G147</f>
        <v>0</v>
      </c>
      <c r="I147" s="202">
        <v>233451.47</v>
      </c>
      <c r="J147" s="202"/>
      <c r="K147" s="203">
        <f>+I147+H147</f>
        <v>233451.47</v>
      </c>
      <c r="L147" s="204">
        <f t="shared" ref="L147:L148" si="84">+D147-J147-K147</f>
        <v>17934863.530000001</v>
      </c>
    </row>
    <row r="148" spans="1:15" x14ac:dyDescent="0.25">
      <c r="A148" s="201" t="s">
        <v>669</v>
      </c>
      <c r="B148" s="204">
        <v>19142778</v>
      </c>
      <c r="C148" s="204">
        <v>0</v>
      </c>
      <c r="D148" s="202">
        <f>+B148+C148</f>
        <v>19142778</v>
      </c>
      <c r="E148" s="202"/>
      <c r="F148" s="202"/>
      <c r="G148" s="202"/>
      <c r="H148" s="202">
        <f t="shared" ref="H148" si="85">+E148+F148+G148</f>
        <v>0</v>
      </c>
      <c r="I148" s="202">
        <v>3039083.61</v>
      </c>
      <c r="J148" s="202"/>
      <c r="K148" s="203">
        <f>+I148+H148</f>
        <v>3039083.61</v>
      </c>
      <c r="L148" s="204">
        <f t="shared" si="84"/>
        <v>16103694.390000001</v>
      </c>
    </row>
    <row r="149" spans="1:15" x14ac:dyDescent="0.25">
      <c r="A149" s="205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</row>
    <row r="150" spans="1:15" ht="24" x14ac:dyDescent="0.25">
      <c r="A150" s="197" t="s">
        <v>163</v>
      </c>
      <c r="B150" s="200">
        <f>+B151+B152</f>
        <v>2198291</v>
      </c>
      <c r="C150" s="200">
        <f>+C151+C152</f>
        <v>0</v>
      </c>
      <c r="D150" s="200">
        <f>+D151+D152</f>
        <v>2198291</v>
      </c>
      <c r="E150" s="200">
        <f t="shared" ref="E150:L150" si="86">+E151+E152</f>
        <v>0</v>
      </c>
      <c r="F150" s="200">
        <f t="shared" si="86"/>
        <v>0</v>
      </c>
      <c r="G150" s="200">
        <f t="shared" si="86"/>
        <v>0</v>
      </c>
      <c r="H150" s="200">
        <f t="shared" si="86"/>
        <v>0</v>
      </c>
      <c r="I150" s="200">
        <f t="shared" si="86"/>
        <v>0</v>
      </c>
      <c r="J150" s="200">
        <f t="shared" si="86"/>
        <v>0</v>
      </c>
      <c r="K150" s="200">
        <f t="shared" si="86"/>
        <v>0</v>
      </c>
      <c r="L150" s="200">
        <f t="shared" si="86"/>
        <v>2198291</v>
      </c>
    </row>
    <row r="151" spans="1:15" x14ac:dyDescent="0.25">
      <c r="A151" s="201" t="s">
        <v>164</v>
      </c>
      <c r="B151" s="204">
        <v>2198291</v>
      </c>
      <c r="C151" s="204">
        <v>0</v>
      </c>
      <c r="D151" s="202">
        <f>+B151+C151</f>
        <v>2198291</v>
      </c>
      <c r="E151" s="202">
        <v>0</v>
      </c>
      <c r="F151" s="202"/>
      <c r="G151" s="202">
        <v>0</v>
      </c>
      <c r="H151" s="204">
        <f>+G151+F151+E151</f>
        <v>0</v>
      </c>
      <c r="I151" s="202">
        <v>0</v>
      </c>
      <c r="J151" s="202"/>
      <c r="K151" s="203">
        <f>+I151+H151</f>
        <v>0</v>
      </c>
      <c r="L151" s="204">
        <f t="shared" ref="L151:L152" si="87">+D151-J151-K151</f>
        <v>2198291</v>
      </c>
    </row>
    <row r="152" spans="1:15" x14ac:dyDescent="0.25">
      <c r="A152" s="201" t="s">
        <v>675</v>
      </c>
      <c r="B152" s="204">
        <v>0</v>
      </c>
      <c r="C152" s="204">
        <v>0</v>
      </c>
      <c r="D152" s="202">
        <f>+B152+C152</f>
        <v>0</v>
      </c>
      <c r="E152" s="202"/>
      <c r="F152" s="202"/>
      <c r="G152" s="202"/>
      <c r="H152" s="204">
        <f>+G152+F152+E152</f>
        <v>0</v>
      </c>
      <c r="I152" s="202">
        <v>0</v>
      </c>
      <c r="J152" s="202"/>
      <c r="K152" s="203">
        <f>+I152+H152</f>
        <v>0</v>
      </c>
      <c r="L152" s="204">
        <f t="shared" si="87"/>
        <v>0</v>
      </c>
    </row>
    <row r="153" spans="1:15" x14ac:dyDescent="0.25">
      <c r="A153" s="201"/>
      <c r="B153" s="202"/>
      <c r="C153" s="202"/>
      <c r="D153" s="202"/>
      <c r="E153" s="202"/>
      <c r="F153" s="202"/>
      <c r="G153" s="202"/>
      <c r="H153" s="204"/>
      <c r="I153" s="202"/>
      <c r="J153" s="202"/>
      <c r="K153" s="203"/>
      <c r="L153" s="204"/>
    </row>
    <row r="154" spans="1:15" x14ac:dyDescent="0.25">
      <c r="A154" s="197" t="s">
        <v>650</v>
      </c>
      <c r="B154" s="199">
        <f t="shared" ref="B154:L154" si="88">+B155</f>
        <v>0</v>
      </c>
      <c r="C154" s="199">
        <f t="shared" si="88"/>
        <v>0</v>
      </c>
      <c r="D154" s="199">
        <f t="shared" si="88"/>
        <v>0</v>
      </c>
      <c r="E154" s="199">
        <f>(+E155)</f>
        <v>0</v>
      </c>
      <c r="F154" s="199">
        <f t="shared" si="88"/>
        <v>0</v>
      </c>
      <c r="G154" s="199">
        <f t="shared" si="88"/>
        <v>0</v>
      </c>
      <c r="H154" s="199">
        <f t="shared" si="88"/>
        <v>0</v>
      </c>
      <c r="I154" s="199">
        <f t="shared" si="88"/>
        <v>0</v>
      </c>
      <c r="J154" s="199">
        <f t="shared" si="88"/>
        <v>0</v>
      </c>
      <c r="K154" s="199">
        <f t="shared" si="88"/>
        <v>0</v>
      </c>
      <c r="L154" s="199">
        <f t="shared" si="88"/>
        <v>0</v>
      </c>
    </row>
    <row r="155" spans="1:15" ht="24" x14ac:dyDescent="0.25">
      <c r="A155" s="201" t="s">
        <v>651</v>
      </c>
      <c r="B155" s="199">
        <f t="shared" ref="B155:L155" si="89">+B156</f>
        <v>0</v>
      </c>
      <c r="C155" s="199">
        <f t="shared" si="89"/>
        <v>0</v>
      </c>
      <c r="D155" s="199">
        <f t="shared" si="89"/>
        <v>0</v>
      </c>
      <c r="E155" s="199">
        <f>(+E156)</f>
        <v>0</v>
      </c>
      <c r="F155" s="199">
        <f t="shared" si="89"/>
        <v>0</v>
      </c>
      <c r="G155" s="199">
        <f t="shared" si="89"/>
        <v>0</v>
      </c>
      <c r="H155" s="199">
        <f t="shared" si="89"/>
        <v>0</v>
      </c>
      <c r="I155" s="199">
        <f t="shared" si="89"/>
        <v>0</v>
      </c>
      <c r="J155" s="199">
        <f t="shared" si="89"/>
        <v>0</v>
      </c>
      <c r="K155" s="199">
        <f t="shared" si="89"/>
        <v>0</v>
      </c>
      <c r="L155" s="199">
        <f t="shared" si="89"/>
        <v>0</v>
      </c>
    </row>
    <row r="156" spans="1:15" ht="24.75" x14ac:dyDescent="0.25">
      <c r="A156" s="205" t="s">
        <v>652</v>
      </c>
      <c r="B156" s="204">
        <v>0</v>
      </c>
      <c r="C156" s="204">
        <v>0</v>
      </c>
      <c r="D156" s="208">
        <f>+C156</f>
        <v>0</v>
      </c>
      <c r="E156" s="208">
        <v>0</v>
      </c>
      <c r="F156" s="208"/>
      <c r="G156" s="202">
        <v>0</v>
      </c>
      <c r="H156" s="208">
        <v>0</v>
      </c>
      <c r="I156" s="208">
        <v>0</v>
      </c>
      <c r="J156" s="208"/>
      <c r="K156" s="203">
        <f>+I156+H156</f>
        <v>0</v>
      </c>
      <c r="L156" s="208"/>
    </row>
    <row r="157" spans="1:15" x14ac:dyDescent="0.25">
      <c r="A157" s="205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</row>
    <row r="158" spans="1:15" x14ac:dyDescent="0.25">
      <c r="A158" s="209" t="s">
        <v>165</v>
      </c>
      <c r="B158" s="199">
        <f t="shared" ref="B158:D158" si="90">+B142+B124+B91+B35+B8+B154</f>
        <v>3339193561.96</v>
      </c>
      <c r="C158" s="199">
        <f>+C142+C124+C91+C35+C8+C154</f>
        <v>0</v>
      </c>
      <c r="D158" s="199">
        <f t="shared" si="90"/>
        <v>3339193561.96</v>
      </c>
      <c r="E158" s="199">
        <f>(+E142+E124+E91+E35+E8+E154)</f>
        <v>0</v>
      </c>
      <c r="F158" s="199">
        <f t="shared" ref="F158:L158" si="91">(+F142+F124+F91+F35+F8+F154)</f>
        <v>0</v>
      </c>
      <c r="G158" s="199">
        <f t="shared" si="91"/>
        <v>0</v>
      </c>
      <c r="H158" s="199">
        <f t="shared" si="91"/>
        <v>0</v>
      </c>
      <c r="I158" s="199">
        <f t="shared" si="91"/>
        <v>643142723.73000002</v>
      </c>
      <c r="J158" s="199">
        <f t="shared" si="91"/>
        <v>0</v>
      </c>
      <c r="K158" s="199">
        <f t="shared" si="91"/>
        <v>643142723.73000002</v>
      </c>
      <c r="L158" s="199">
        <f t="shared" si="91"/>
        <v>2696050838.23</v>
      </c>
    </row>
    <row r="159" spans="1:15" x14ac:dyDescent="0.25">
      <c r="A159" s="193"/>
      <c r="B159" s="210"/>
      <c r="C159" s="210"/>
      <c r="D159" s="208"/>
      <c r="E159" s="193"/>
      <c r="F159" s="193"/>
      <c r="G159" s="193"/>
      <c r="H159" s="193"/>
      <c r="I159" s="210"/>
      <c r="L159" s="193"/>
    </row>
    <row r="160" spans="1:15" x14ac:dyDescent="0.25">
      <c r="A160" s="193"/>
      <c r="B160" s="208"/>
      <c r="C160" s="193"/>
      <c r="D160" s="193"/>
      <c r="E160" s="193"/>
      <c r="F160" s="193"/>
      <c r="G160" s="193"/>
      <c r="H160" s="193"/>
      <c r="I160" s="210"/>
      <c r="M160" s="210" t="s">
        <v>681</v>
      </c>
      <c r="N160" s="211"/>
      <c r="O160" s="210">
        <f>+K158+J158</f>
        <v>643142723.73000002</v>
      </c>
    </row>
    <row r="161" spans="1:15" x14ac:dyDescent="0.25">
      <c r="A161" s="193"/>
      <c r="B161" s="193"/>
      <c r="C161" s="193"/>
      <c r="D161" s="193"/>
      <c r="E161" s="193"/>
      <c r="F161" s="193"/>
      <c r="G161" s="193"/>
      <c r="H161" s="193"/>
      <c r="I161" s="193"/>
      <c r="M161" s="193" t="s">
        <v>682</v>
      </c>
      <c r="N161" s="193"/>
      <c r="O161" s="208">
        <f>+K320+J320</f>
        <v>414726726.88</v>
      </c>
    </row>
    <row r="162" spans="1:15" x14ac:dyDescent="0.25">
      <c r="A162" s="237" t="s">
        <v>46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t="s">
        <v>683</v>
      </c>
      <c r="O162" s="208">
        <f>+O160+O161</f>
        <v>1057869450.61</v>
      </c>
    </row>
    <row r="163" spans="1:15" x14ac:dyDescent="0.25">
      <c r="A163" s="237" t="s">
        <v>47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</row>
    <row r="164" spans="1:15" x14ac:dyDescent="0.25">
      <c r="A164" s="237" t="s">
        <v>48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</row>
    <row r="165" spans="1:15" x14ac:dyDescent="0.25">
      <c r="A165" s="237" t="s">
        <v>166</v>
      </c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</row>
    <row r="166" spans="1:15" x14ac:dyDescent="0.25">
      <c r="A166" s="237" t="s">
        <v>686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</row>
    <row r="167" spans="1:15" ht="36" x14ac:dyDescent="0.25">
      <c r="A167" s="194" t="s">
        <v>50</v>
      </c>
      <c r="B167" s="212" t="s">
        <v>51</v>
      </c>
      <c r="C167" s="212" t="s">
        <v>52</v>
      </c>
      <c r="D167" s="213" t="s">
        <v>53</v>
      </c>
      <c r="E167" s="213" t="s">
        <v>54</v>
      </c>
      <c r="F167" s="213" t="s">
        <v>55</v>
      </c>
      <c r="G167" s="213" t="s">
        <v>56</v>
      </c>
      <c r="H167" s="212" t="s">
        <v>57</v>
      </c>
      <c r="I167" s="212" t="s">
        <v>45</v>
      </c>
      <c r="J167" s="195" t="s">
        <v>680</v>
      </c>
      <c r="K167" s="212" t="s">
        <v>1</v>
      </c>
      <c r="L167" s="214" t="s">
        <v>58</v>
      </c>
    </row>
    <row r="168" spans="1:15" x14ac:dyDescent="0.25">
      <c r="A168" s="193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</row>
    <row r="169" spans="1:15" x14ac:dyDescent="0.25">
      <c r="A169" s="197" t="s">
        <v>59</v>
      </c>
      <c r="B169" s="198">
        <f>+B170+B174+B179+B186+B190</f>
        <v>1156777315</v>
      </c>
      <c r="C169" s="198">
        <f>+C170+C174+C179+C186+C190</f>
        <v>0</v>
      </c>
      <c r="D169" s="198">
        <f>+D170+D174+D179+D186+D190</f>
        <v>1156777315</v>
      </c>
      <c r="E169" s="198">
        <f>(+E170+E174+E179+E186+E190)</f>
        <v>0</v>
      </c>
      <c r="F169" s="198">
        <f t="shared" ref="F169:L169" si="92">+F170+F174+F179+F186+F190</f>
        <v>0</v>
      </c>
      <c r="G169" s="198">
        <f t="shared" si="92"/>
        <v>0</v>
      </c>
      <c r="H169" s="198">
        <f t="shared" si="92"/>
        <v>0</v>
      </c>
      <c r="I169" s="198">
        <f t="shared" si="92"/>
        <v>276541435.69999999</v>
      </c>
      <c r="J169" s="198">
        <f t="shared" si="92"/>
        <v>0</v>
      </c>
      <c r="K169" s="198">
        <f t="shared" si="92"/>
        <v>276541435.69999999</v>
      </c>
      <c r="L169" s="198">
        <f t="shared" si="92"/>
        <v>880235879.29999995</v>
      </c>
    </row>
    <row r="170" spans="1:15" x14ac:dyDescent="0.25">
      <c r="A170" s="197" t="s">
        <v>167</v>
      </c>
      <c r="B170" s="200">
        <f t="shared" ref="B170:L170" si="93">+B171+B172</f>
        <v>377374800</v>
      </c>
      <c r="C170" s="200">
        <f>+C171+C172</f>
        <v>0</v>
      </c>
      <c r="D170" s="200">
        <f t="shared" si="93"/>
        <v>377374800</v>
      </c>
      <c r="E170" s="200">
        <f>(+E171+E172)</f>
        <v>0</v>
      </c>
      <c r="F170" s="200">
        <f t="shared" si="93"/>
        <v>0</v>
      </c>
      <c r="G170" s="200">
        <f t="shared" si="93"/>
        <v>0</v>
      </c>
      <c r="H170" s="200">
        <f t="shared" si="93"/>
        <v>0</v>
      </c>
      <c r="I170" s="200">
        <f t="shared" si="93"/>
        <v>91083214.060000002</v>
      </c>
      <c r="J170" s="200">
        <f t="shared" si="93"/>
        <v>0</v>
      </c>
      <c r="K170" s="200">
        <f t="shared" si="93"/>
        <v>91083214.060000002</v>
      </c>
      <c r="L170" s="200">
        <f t="shared" si="93"/>
        <v>286291585.94</v>
      </c>
    </row>
    <row r="171" spans="1:15" ht="24" x14ac:dyDescent="0.25">
      <c r="A171" s="201" t="s">
        <v>61</v>
      </c>
      <c r="B171" s="202">
        <v>377374800</v>
      </c>
      <c r="C171" s="204">
        <v>0</v>
      </c>
      <c r="D171" s="202">
        <f>+C171+B171</f>
        <v>377374800</v>
      </c>
      <c r="E171" s="202"/>
      <c r="F171" s="202"/>
      <c r="G171" s="202"/>
      <c r="H171" s="202">
        <f t="shared" ref="H171:H172" si="94">+E171+F171+G171</f>
        <v>0</v>
      </c>
      <c r="I171" s="202">
        <v>91083214.060000002</v>
      </c>
      <c r="J171" s="202"/>
      <c r="K171" s="202">
        <f>+I171+H171</f>
        <v>91083214.060000002</v>
      </c>
      <c r="L171" s="204">
        <f t="shared" ref="L171:L177" si="95">+D171-J171-K171</f>
        <v>286291585.94</v>
      </c>
      <c r="M171" s="67"/>
    </row>
    <row r="172" spans="1:15" x14ac:dyDescent="0.25">
      <c r="A172" s="201" t="s">
        <v>62</v>
      </c>
      <c r="B172" s="202">
        <v>0</v>
      </c>
      <c r="C172" s="204">
        <v>0</v>
      </c>
      <c r="D172" s="202">
        <f>+C172+B172</f>
        <v>0</v>
      </c>
      <c r="E172" s="202"/>
      <c r="F172" s="202"/>
      <c r="G172" s="202"/>
      <c r="H172" s="202">
        <f t="shared" si="94"/>
        <v>0</v>
      </c>
      <c r="I172" s="202"/>
      <c r="J172" s="202"/>
      <c r="K172" s="202">
        <f>+I172+H172</f>
        <v>0</v>
      </c>
      <c r="L172" s="204">
        <f t="shared" si="95"/>
        <v>0</v>
      </c>
    </row>
    <row r="173" spans="1:15" x14ac:dyDescent="0.25">
      <c r="A173" s="205"/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204">
        <f t="shared" si="95"/>
        <v>0</v>
      </c>
    </row>
    <row r="174" spans="1:15" x14ac:dyDescent="0.25">
      <c r="A174" s="197" t="s">
        <v>63</v>
      </c>
      <c r="B174" s="200">
        <f t="shared" ref="B174:K174" si="96">SUM(B175:B177)</f>
        <v>14428814</v>
      </c>
      <c r="C174" s="200">
        <f>SUM(C175:C177)</f>
        <v>0</v>
      </c>
      <c r="D174" s="200">
        <f t="shared" si="96"/>
        <v>14428814</v>
      </c>
      <c r="E174" s="200">
        <f>(SUM(E175:E177))</f>
        <v>0</v>
      </c>
      <c r="F174" s="200">
        <f t="shared" si="96"/>
        <v>0</v>
      </c>
      <c r="G174" s="200">
        <f t="shared" si="96"/>
        <v>0</v>
      </c>
      <c r="H174" s="200">
        <f t="shared" si="96"/>
        <v>0</v>
      </c>
      <c r="I174" s="200">
        <f t="shared" si="96"/>
        <v>2848346.94</v>
      </c>
      <c r="J174" s="200">
        <f t="shared" si="96"/>
        <v>0</v>
      </c>
      <c r="K174" s="200">
        <f t="shared" si="96"/>
        <v>2848346.94</v>
      </c>
      <c r="L174" s="204">
        <f t="shared" si="95"/>
        <v>11580467.060000001</v>
      </c>
    </row>
    <row r="175" spans="1:15" x14ac:dyDescent="0.25">
      <c r="A175" s="201" t="s">
        <v>64</v>
      </c>
      <c r="B175" s="204">
        <v>14428814</v>
      </c>
      <c r="C175" s="204">
        <v>0</v>
      </c>
      <c r="D175" s="202">
        <f>+C175+B175</f>
        <v>14428814</v>
      </c>
      <c r="E175" s="202"/>
      <c r="F175" s="202"/>
      <c r="G175" s="202"/>
      <c r="H175" s="202">
        <f t="shared" ref="H175:H177" si="97">+E175+F175+G175</f>
        <v>0</v>
      </c>
      <c r="I175" s="202">
        <v>2848346.94</v>
      </c>
      <c r="J175" s="202"/>
      <c r="K175" s="202">
        <f>+I175+H175</f>
        <v>2848346.94</v>
      </c>
      <c r="L175" s="204">
        <f t="shared" si="95"/>
        <v>11580467.060000001</v>
      </c>
      <c r="M175" s="67"/>
    </row>
    <row r="176" spans="1:15" x14ac:dyDescent="0.25">
      <c r="A176" s="201" t="s">
        <v>65</v>
      </c>
      <c r="B176" s="204">
        <v>0</v>
      </c>
      <c r="C176" s="204">
        <v>0</v>
      </c>
      <c r="D176" s="202">
        <f>+C176+B176</f>
        <v>0</v>
      </c>
      <c r="E176" s="202"/>
      <c r="F176" s="202"/>
      <c r="G176" s="202"/>
      <c r="H176" s="202">
        <f t="shared" si="97"/>
        <v>0</v>
      </c>
      <c r="I176" s="202">
        <v>0</v>
      </c>
      <c r="J176" s="202"/>
      <c r="K176" s="202">
        <f>+I176+H176</f>
        <v>0</v>
      </c>
      <c r="L176" s="204">
        <f t="shared" si="95"/>
        <v>0</v>
      </c>
    </row>
    <row r="177" spans="1:13" x14ac:dyDescent="0.25">
      <c r="A177" s="201" t="s">
        <v>66</v>
      </c>
      <c r="B177" s="204">
        <v>0</v>
      </c>
      <c r="C177" s="204">
        <v>0</v>
      </c>
      <c r="D177" s="202">
        <f>+C177+B177</f>
        <v>0</v>
      </c>
      <c r="E177" s="202"/>
      <c r="F177" s="202"/>
      <c r="G177" s="202"/>
      <c r="H177" s="202">
        <f t="shared" si="97"/>
        <v>0</v>
      </c>
      <c r="I177" s="202">
        <v>0</v>
      </c>
      <c r="J177" s="202"/>
      <c r="K177" s="202">
        <f>+I177+H177</f>
        <v>0</v>
      </c>
      <c r="L177" s="204">
        <f t="shared" si="95"/>
        <v>0</v>
      </c>
    </row>
    <row r="178" spans="1:13" x14ac:dyDescent="0.25">
      <c r="A178" s="205"/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</row>
    <row r="179" spans="1:13" x14ac:dyDescent="0.25">
      <c r="A179" s="197" t="s">
        <v>67</v>
      </c>
      <c r="B179" s="200">
        <f t="shared" ref="B179:L179" si="98">SUM(B180:B184)</f>
        <v>549278523</v>
      </c>
      <c r="C179" s="200">
        <f>SUM(C180:C184)</f>
        <v>0</v>
      </c>
      <c r="D179" s="200">
        <f t="shared" si="98"/>
        <v>549278523</v>
      </c>
      <c r="E179" s="200">
        <f>(SUM(E180:E184))</f>
        <v>0</v>
      </c>
      <c r="F179" s="200">
        <f t="shared" si="98"/>
        <v>0</v>
      </c>
      <c r="G179" s="200">
        <f t="shared" si="98"/>
        <v>0</v>
      </c>
      <c r="H179" s="200">
        <f t="shared" si="98"/>
        <v>0</v>
      </c>
      <c r="I179" s="200">
        <f t="shared" si="98"/>
        <v>130921744.72999999</v>
      </c>
      <c r="J179" s="200">
        <f t="shared" si="98"/>
        <v>0</v>
      </c>
      <c r="K179" s="200">
        <f t="shared" si="98"/>
        <v>130921744.72999999</v>
      </c>
      <c r="L179" s="200">
        <f t="shared" si="98"/>
        <v>418356778.27000004</v>
      </c>
    </row>
    <row r="180" spans="1:13" ht="24" x14ac:dyDescent="0.25">
      <c r="A180" s="201" t="s">
        <v>68</v>
      </c>
      <c r="B180" s="202">
        <v>178001376</v>
      </c>
      <c r="C180" s="204">
        <v>0</v>
      </c>
      <c r="D180" s="202">
        <f>+C180+B180</f>
        <v>178001376</v>
      </c>
      <c r="E180" s="202"/>
      <c r="F180" s="202"/>
      <c r="G180" s="202"/>
      <c r="H180" s="202">
        <f t="shared" ref="H180:H184" si="99">+E180+F180+G180</f>
        <v>0</v>
      </c>
      <c r="I180" s="202">
        <v>30913956.329999998</v>
      </c>
      <c r="J180" s="202"/>
      <c r="K180" s="202">
        <f>+I180+H180</f>
        <v>30913956.329999998</v>
      </c>
      <c r="L180" s="204">
        <f t="shared" ref="L180:L184" si="100">+D180-J180-K180</f>
        <v>147087419.67000002</v>
      </c>
      <c r="M180" s="67"/>
    </row>
    <row r="181" spans="1:13" ht="24" x14ac:dyDescent="0.25">
      <c r="A181" s="201" t="s">
        <v>69</v>
      </c>
      <c r="B181" s="202">
        <v>151122690</v>
      </c>
      <c r="C181" s="204">
        <v>0</v>
      </c>
      <c r="D181" s="202">
        <f>+C181+B181</f>
        <v>151122690</v>
      </c>
      <c r="E181" s="202"/>
      <c r="F181" s="202"/>
      <c r="G181" s="202"/>
      <c r="H181" s="202">
        <f t="shared" si="99"/>
        <v>0</v>
      </c>
      <c r="I181" s="202">
        <v>27011453.59</v>
      </c>
      <c r="J181" s="202"/>
      <c r="K181" s="202">
        <f>+I181+H181</f>
        <v>27011453.59</v>
      </c>
      <c r="L181" s="204">
        <f t="shared" si="100"/>
        <v>124111236.41</v>
      </c>
      <c r="M181" s="67"/>
    </row>
    <row r="182" spans="1:13" x14ac:dyDescent="0.25">
      <c r="A182" s="201" t="s">
        <v>70</v>
      </c>
      <c r="B182" s="202">
        <v>72364204</v>
      </c>
      <c r="C182" s="204">
        <v>0</v>
      </c>
      <c r="D182" s="202">
        <f>+C182+B182</f>
        <v>72364204</v>
      </c>
      <c r="E182" s="202"/>
      <c r="F182" s="202"/>
      <c r="G182" s="202"/>
      <c r="H182" s="202">
        <f t="shared" si="99"/>
        <v>0</v>
      </c>
      <c r="I182" s="202">
        <v>0</v>
      </c>
      <c r="J182" s="202"/>
      <c r="K182" s="202">
        <f>+I182+H182</f>
        <v>0</v>
      </c>
      <c r="L182" s="204">
        <f t="shared" si="100"/>
        <v>72364204</v>
      </c>
    </row>
    <row r="183" spans="1:13" x14ac:dyDescent="0.25">
      <c r="A183" s="201" t="s">
        <v>71</v>
      </c>
      <c r="B183" s="202">
        <v>59599342</v>
      </c>
      <c r="C183" s="204">
        <v>0</v>
      </c>
      <c r="D183" s="202">
        <f>+C183+B183</f>
        <v>59599342</v>
      </c>
      <c r="E183" s="202"/>
      <c r="F183" s="202"/>
      <c r="G183" s="202"/>
      <c r="H183" s="202">
        <f t="shared" si="99"/>
        <v>0</v>
      </c>
      <c r="I183" s="202">
        <v>54263275.869999997</v>
      </c>
      <c r="J183" s="202"/>
      <c r="K183" s="202">
        <f>+I183+H183</f>
        <v>54263275.869999997</v>
      </c>
      <c r="L183" s="204">
        <f t="shared" si="100"/>
        <v>5336066.1300000027</v>
      </c>
    </row>
    <row r="184" spans="1:13" ht="24" x14ac:dyDescent="0.25">
      <c r="A184" s="201" t="s">
        <v>72</v>
      </c>
      <c r="B184" s="202">
        <v>88190911</v>
      </c>
      <c r="C184" s="204">
        <v>0</v>
      </c>
      <c r="D184" s="202">
        <f>+C184+B184</f>
        <v>88190911</v>
      </c>
      <c r="E184" s="202"/>
      <c r="F184" s="202"/>
      <c r="G184" s="202"/>
      <c r="H184" s="202">
        <f t="shared" si="99"/>
        <v>0</v>
      </c>
      <c r="I184" s="202">
        <v>18733058.940000001</v>
      </c>
      <c r="J184" s="202"/>
      <c r="K184" s="202">
        <f>+I184+H184</f>
        <v>18733058.940000001</v>
      </c>
      <c r="L184" s="204">
        <f t="shared" si="100"/>
        <v>69457852.060000002</v>
      </c>
      <c r="M184" s="67"/>
    </row>
    <row r="185" spans="1:13" x14ac:dyDescent="0.25">
      <c r="A185" s="205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</row>
    <row r="186" spans="1:13" ht="24" x14ac:dyDescent="0.25">
      <c r="A186" s="197" t="s">
        <v>73</v>
      </c>
      <c r="B186" s="200">
        <f t="shared" ref="B186:L186" si="101">SUM(B187:B188)</f>
        <v>84699999</v>
      </c>
      <c r="C186" s="200">
        <f t="shared" si="101"/>
        <v>0</v>
      </c>
      <c r="D186" s="200">
        <f t="shared" si="101"/>
        <v>84699999</v>
      </c>
      <c r="E186" s="200">
        <f>(SUM(E187:E188))</f>
        <v>0</v>
      </c>
      <c r="F186" s="200">
        <f t="shared" si="101"/>
        <v>0</v>
      </c>
      <c r="G186" s="200">
        <f t="shared" si="101"/>
        <v>0</v>
      </c>
      <c r="H186" s="200">
        <f t="shared" si="101"/>
        <v>0</v>
      </c>
      <c r="I186" s="200">
        <f t="shared" si="101"/>
        <v>21893124.120000001</v>
      </c>
      <c r="J186" s="200">
        <f t="shared" si="101"/>
        <v>0</v>
      </c>
      <c r="K186" s="200">
        <f t="shared" si="101"/>
        <v>21893124.120000001</v>
      </c>
      <c r="L186" s="200">
        <f t="shared" si="101"/>
        <v>62806874.880000003</v>
      </c>
    </row>
    <row r="187" spans="1:13" ht="24" x14ac:dyDescent="0.25">
      <c r="A187" s="201" t="s">
        <v>74</v>
      </c>
      <c r="B187" s="202">
        <v>80356409</v>
      </c>
      <c r="C187" s="204">
        <v>0</v>
      </c>
      <c r="D187" s="202">
        <f>+C187+B187</f>
        <v>80356409</v>
      </c>
      <c r="E187" s="202"/>
      <c r="F187" s="202"/>
      <c r="G187" s="202"/>
      <c r="H187" s="202">
        <f t="shared" ref="H187:H188" si="102">+E187+F187+G187</f>
        <v>0</v>
      </c>
      <c r="I187" s="202">
        <v>20770399.550000001</v>
      </c>
      <c r="J187" s="202"/>
      <c r="K187" s="202">
        <f>+I187+H187</f>
        <v>20770399.550000001</v>
      </c>
      <c r="L187" s="204">
        <f t="shared" ref="L187:L188" si="103">+D187-J187-K187</f>
        <v>59586009.450000003</v>
      </c>
    </row>
    <row r="188" spans="1:13" ht="24" x14ac:dyDescent="0.25">
      <c r="A188" s="201" t="s">
        <v>75</v>
      </c>
      <c r="B188" s="202">
        <v>4343590</v>
      </c>
      <c r="C188" s="204">
        <v>0</v>
      </c>
      <c r="D188" s="202">
        <f>+C188+B188</f>
        <v>4343590</v>
      </c>
      <c r="E188" s="202"/>
      <c r="F188" s="202"/>
      <c r="G188" s="202"/>
      <c r="H188" s="202">
        <f t="shared" si="102"/>
        <v>0</v>
      </c>
      <c r="I188" s="202">
        <v>1122724.57</v>
      </c>
      <c r="J188" s="202"/>
      <c r="K188" s="202">
        <f>+I188+H188</f>
        <v>1122724.57</v>
      </c>
      <c r="L188" s="204">
        <f t="shared" si="103"/>
        <v>3220865.4299999997</v>
      </c>
    </row>
    <row r="189" spans="1:13" x14ac:dyDescent="0.25">
      <c r="A189" s="205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</row>
    <row r="190" spans="1:13" ht="36" x14ac:dyDescent="0.25">
      <c r="A190" s="197" t="s">
        <v>76</v>
      </c>
      <c r="B190" s="200">
        <f>SUM(B191:B194)</f>
        <v>130995179</v>
      </c>
      <c r="C190" s="200">
        <f>SUM(C191:C194)</f>
        <v>0</v>
      </c>
      <c r="D190" s="200">
        <f t="shared" ref="D190:L190" si="104">SUM(D191:D194)</f>
        <v>130995179</v>
      </c>
      <c r="E190" s="200">
        <f>(SUM(E191:E194))</f>
        <v>0</v>
      </c>
      <c r="F190" s="200">
        <f t="shared" si="104"/>
        <v>0</v>
      </c>
      <c r="G190" s="200">
        <f t="shared" si="104"/>
        <v>0</v>
      </c>
      <c r="H190" s="200">
        <f t="shared" si="104"/>
        <v>0</v>
      </c>
      <c r="I190" s="200">
        <f t="shared" si="104"/>
        <v>29795005.849999998</v>
      </c>
      <c r="J190" s="200">
        <f t="shared" si="104"/>
        <v>0</v>
      </c>
      <c r="K190" s="200">
        <f t="shared" si="104"/>
        <v>29795005.849999998</v>
      </c>
      <c r="L190" s="200">
        <f t="shared" si="104"/>
        <v>101200173.15000001</v>
      </c>
    </row>
    <row r="191" spans="1:13" ht="24" x14ac:dyDescent="0.25">
      <c r="A191" s="201" t="s">
        <v>670</v>
      </c>
      <c r="B191" s="202">
        <v>45607692</v>
      </c>
      <c r="C191" s="202">
        <v>0</v>
      </c>
      <c r="D191" s="202">
        <f>+C191+B191</f>
        <v>45607692</v>
      </c>
      <c r="E191" s="202"/>
      <c r="F191" s="202"/>
      <c r="G191" s="202"/>
      <c r="H191" s="202">
        <f t="shared" ref="H191:H194" si="105">+E191+F191+G191</f>
        <v>0</v>
      </c>
      <c r="I191" s="202">
        <v>11788605.17</v>
      </c>
      <c r="J191" s="202"/>
      <c r="K191" s="202">
        <f>+I191+H191</f>
        <v>11788605.17</v>
      </c>
      <c r="L191" s="204">
        <f t="shared" ref="L191:L194" si="106">+D191-J191-K191</f>
        <v>33819086.829999998</v>
      </c>
    </row>
    <row r="192" spans="1:13" ht="24" x14ac:dyDescent="0.25">
      <c r="A192" s="201" t="s">
        <v>77</v>
      </c>
      <c r="B192" s="202">
        <v>26061538</v>
      </c>
      <c r="C192" s="202">
        <v>0</v>
      </c>
      <c r="D192" s="202">
        <f>+C192+B192</f>
        <v>26061538</v>
      </c>
      <c r="E192" s="202"/>
      <c r="F192" s="202"/>
      <c r="G192" s="202"/>
      <c r="H192" s="202">
        <f t="shared" ref="H192" si="107">+E192+F192+G192</f>
        <v>0</v>
      </c>
      <c r="I192" s="202">
        <v>6736346.0499999998</v>
      </c>
      <c r="J192" s="202"/>
      <c r="K192" s="202">
        <f>+I192+H192</f>
        <v>6736346.0499999998</v>
      </c>
      <c r="L192" s="204">
        <f t="shared" si="106"/>
        <v>19325191.949999999</v>
      </c>
    </row>
    <row r="193" spans="1:12" ht="24" x14ac:dyDescent="0.25">
      <c r="A193" s="201" t="s">
        <v>78</v>
      </c>
      <c r="B193" s="202">
        <v>13030769</v>
      </c>
      <c r="C193" s="202">
        <v>0</v>
      </c>
      <c r="D193" s="202">
        <f>+C193+B193</f>
        <v>13030769</v>
      </c>
      <c r="E193" s="202"/>
      <c r="F193" s="202"/>
      <c r="G193" s="202"/>
      <c r="H193" s="202">
        <f t="shared" si="105"/>
        <v>0</v>
      </c>
      <c r="I193" s="202">
        <v>3368173.11</v>
      </c>
      <c r="J193" s="202"/>
      <c r="K193" s="202">
        <f>+I193+H193</f>
        <v>3368173.11</v>
      </c>
      <c r="L193" s="204">
        <f t="shared" si="106"/>
        <v>9662595.8900000006</v>
      </c>
    </row>
    <row r="194" spans="1:12" ht="24" x14ac:dyDescent="0.25">
      <c r="A194" s="201" t="s">
        <v>79</v>
      </c>
      <c r="B194" s="202">
        <v>46295180</v>
      </c>
      <c r="C194" s="204">
        <v>0</v>
      </c>
      <c r="D194" s="202">
        <f>+C194+B194</f>
        <v>46295180</v>
      </c>
      <c r="E194" s="202"/>
      <c r="F194" s="202"/>
      <c r="G194" s="202"/>
      <c r="H194" s="202">
        <f t="shared" si="105"/>
        <v>0</v>
      </c>
      <c r="I194" s="202">
        <v>7901881.5199999996</v>
      </c>
      <c r="J194" s="202"/>
      <c r="K194" s="202">
        <f>+I194+H194</f>
        <v>7901881.5199999996</v>
      </c>
      <c r="L194" s="204">
        <f t="shared" si="106"/>
        <v>38393298.480000004</v>
      </c>
    </row>
    <row r="195" spans="1:12" x14ac:dyDescent="0.25">
      <c r="A195" s="205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</row>
    <row r="196" spans="1:12" x14ac:dyDescent="0.25">
      <c r="A196" s="197" t="s">
        <v>168</v>
      </c>
      <c r="B196" s="206">
        <f t="shared" ref="B196:L196" si="108">+B197+B204+B210+B215+B222+B228+B231+B235+B244+B248</f>
        <v>1217373042.77</v>
      </c>
      <c r="C196" s="206">
        <f>+C197+C204+C210+C215+C222+C228+C231+C235+C244+C248</f>
        <v>0</v>
      </c>
      <c r="D196" s="206">
        <f t="shared" si="108"/>
        <v>1217373042.77</v>
      </c>
      <c r="E196" s="206">
        <f>(+E197+E204+E210+E215+E222+E228+E231+E235+E244+E248)</f>
        <v>0</v>
      </c>
      <c r="F196" s="206">
        <f t="shared" si="108"/>
        <v>0</v>
      </c>
      <c r="G196" s="206">
        <f t="shared" si="108"/>
        <v>0</v>
      </c>
      <c r="H196" s="206">
        <f t="shared" si="108"/>
        <v>0</v>
      </c>
      <c r="I196" s="206">
        <f t="shared" si="108"/>
        <v>114406135.03</v>
      </c>
      <c r="J196" s="206">
        <f t="shared" si="108"/>
        <v>0</v>
      </c>
      <c r="K196" s="206">
        <f t="shared" si="108"/>
        <v>114406135.03</v>
      </c>
      <c r="L196" s="206">
        <f t="shared" si="108"/>
        <v>1102966907.74</v>
      </c>
    </row>
    <row r="197" spans="1:12" x14ac:dyDescent="0.25">
      <c r="A197" s="197" t="s">
        <v>81</v>
      </c>
      <c r="B197" s="200">
        <f>SUM(B198:B202)</f>
        <v>17000000</v>
      </c>
      <c r="C197" s="200">
        <f>SUM(C198:C202)</f>
        <v>0</v>
      </c>
      <c r="D197" s="200">
        <f>SUM(D198:D202)</f>
        <v>17000000</v>
      </c>
      <c r="E197" s="200">
        <f>(SUM(E198:E201))</f>
        <v>0</v>
      </c>
      <c r="F197" s="200">
        <f t="shared" ref="F197:L197" si="109">SUM(F198:F201)</f>
        <v>0</v>
      </c>
      <c r="G197" s="200">
        <f t="shared" si="109"/>
        <v>0</v>
      </c>
      <c r="H197" s="200">
        <f t="shared" si="109"/>
        <v>0</v>
      </c>
      <c r="I197" s="200">
        <f t="shared" si="109"/>
        <v>474242.58</v>
      </c>
      <c r="J197" s="200">
        <f t="shared" si="109"/>
        <v>0</v>
      </c>
      <c r="K197" s="200">
        <f t="shared" si="109"/>
        <v>474242.58</v>
      </c>
      <c r="L197" s="200">
        <f t="shared" si="109"/>
        <v>16525757.42</v>
      </c>
    </row>
    <row r="198" spans="1:12" ht="24" x14ac:dyDescent="0.25">
      <c r="A198" s="201" t="s">
        <v>169</v>
      </c>
      <c r="B198" s="204">
        <v>0</v>
      </c>
      <c r="C198" s="204">
        <v>0</v>
      </c>
      <c r="D198" s="202">
        <f>+C198+B198</f>
        <v>0</v>
      </c>
      <c r="E198" s="202"/>
      <c r="F198" s="202"/>
      <c r="G198" s="202"/>
      <c r="H198" s="202">
        <f t="shared" ref="H198:H201" si="110">+E198+F198+G198</f>
        <v>0</v>
      </c>
      <c r="I198" s="202"/>
      <c r="J198" s="202"/>
      <c r="K198" s="202">
        <f>+I198+H198</f>
        <v>0</v>
      </c>
      <c r="L198" s="204">
        <f t="shared" ref="L198:L208" si="111">+D198-J198-K198</f>
        <v>0</v>
      </c>
    </row>
    <row r="199" spans="1:12" ht="24" x14ac:dyDescent="0.25">
      <c r="A199" s="201" t="s">
        <v>641</v>
      </c>
      <c r="B199" s="204">
        <v>5000000</v>
      </c>
      <c r="C199" s="204">
        <v>0</v>
      </c>
      <c r="D199" s="202">
        <f>+C199+B199</f>
        <v>5000000</v>
      </c>
      <c r="E199" s="202"/>
      <c r="F199" s="202"/>
      <c r="G199" s="202"/>
      <c r="H199" s="202">
        <f t="shared" si="110"/>
        <v>0</v>
      </c>
      <c r="I199" s="202">
        <v>0</v>
      </c>
      <c r="J199" s="202"/>
      <c r="K199" s="202">
        <f>+I199+H199</f>
        <v>0</v>
      </c>
      <c r="L199" s="204">
        <f t="shared" si="111"/>
        <v>5000000</v>
      </c>
    </row>
    <row r="200" spans="1:12" ht="24" x14ac:dyDescent="0.25">
      <c r="A200" s="201" t="s">
        <v>82</v>
      </c>
      <c r="B200" s="204">
        <v>12000000</v>
      </c>
      <c r="C200" s="204">
        <v>0</v>
      </c>
      <c r="D200" s="202">
        <f>+C200+B200</f>
        <v>12000000</v>
      </c>
      <c r="E200" s="202"/>
      <c r="F200" s="202"/>
      <c r="G200" s="202"/>
      <c r="H200" s="202">
        <f t="shared" si="110"/>
        <v>0</v>
      </c>
      <c r="I200" s="202">
        <v>474242.58</v>
      </c>
      <c r="J200" s="202"/>
      <c r="K200" s="202">
        <f>+I200+H200</f>
        <v>474242.58</v>
      </c>
      <c r="L200" s="204">
        <f t="shared" si="111"/>
        <v>11525757.42</v>
      </c>
    </row>
    <row r="201" spans="1:12" ht="24" x14ac:dyDescent="0.25">
      <c r="A201" s="201" t="s">
        <v>83</v>
      </c>
      <c r="B201" s="204">
        <v>0</v>
      </c>
      <c r="C201" s="204">
        <v>0</v>
      </c>
      <c r="D201" s="202">
        <f>+C201+B201</f>
        <v>0</v>
      </c>
      <c r="E201" s="202"/>
      <c r="F201" s="202"/>
      <c r="G201" s="202"/>
      <c r="H201" s="202">
        <f t="shared" si="110"/>
        <v>0</v>
      </c>
      <c r="I201" s="202"/>
      <c r="J201" s="202"/>
      <c r="K201" s="202">
        <f>+I201+H201</f>
        <v>0</v>
      </c>
      <c r="L201" s="204">
        <f t="shared" si="111"/>
        <v>0</v>
      </c>
    </row>
    <row r="202" spans="1:12" x14ac:dyDescent="0.25">
      <c r="A202" s="201" t="s">
        <v>638</v>
      </c>
      <c r="B202" s="204">
        <v>0</v>
      </c>
      <c r="C202" s="204">
        <v>0</v>
      </c>
      <c r="D202" s="202">
        <f>+C202+B202</f>
        <v>0</v>
      </c>
      <c r="E202" s="202"/>
      <c r="F202" s="202"/>
      <c r="G202" s="202"/>
      <c r="H202" s="202"/>
      <c r="I202" s="202"/>
      <c r="J202" s="202"/>
      <c r="K202" s="202">
        <f>+I202+H202</f>
        <v>0</v>
      </c>
      <c r="L202" s="204">
        <f t="shared" si="111"/>
        <v>0</v>
      </c>
    </row>
    <row r="203" spans="1:12" x14ac:dyDescent="0.25">
      <c r="A203" s="205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204"/>
    </row>
    <row r="204" spans="1:12" x14ac:dyDescent="0.25">
      <c r="A204" s="197" t="s">
        <v>84</v>
      </c>
      <c r="B204" s="199">
        <f>SUM(B205:B208)</f>
        <v>455503321.94999999</v>
      </c>
      <c r="C204" s="199">
        <f>SUM(C205:C208)</f>
        <v>0</v>
      </c>
      <c r="D204" s="199">
        <f>SUM(D205:D208)</f>
        <v>455503321.94999999</v>
      </c>
      <c r="E204" s="199">
        <f>(SUM(E205:E208))</f>
        <v>0</v>
      </c>
      <c r="F204" s="199">
        <f t="shared" ref="F204:L204" si="112">SUM(F205:F208)</f>
        <v>0</v>
      </c>
      <c r="G204" s="199">
        <f t="shared" si="112"/>
        <v>0</v>
      </c>
      <c r="H204" s="199">
        <f t="shared" si="112"/>
        <v>0</v>
      </c>
      <c r="I204" s="199">
        <f t="shared" si="112"/>
        <v>50370463.479999997</v>
      </c>
      <c r="J204" s="199">
        <f t="shared" si="112"/>
        <v>0</v>
      </c>
      <c r="K204" s="199">
        <f t="shared" si="112"/>
        <v>50370463.479999997</v>
      </c>
      <c r="L204" s="199">
        <f t="shared" si="112"/>
        <v>405132858.46999997</v>
      </c>
    </row>
    <row r="205" spans="1:12" ht="24" x14ac:dyDescent="0.25">
      <c r="A205" s="201" t="s">
        <v>85</v>
      </c>
      <c r="B205" s="202">
        <v>26460000</v>
      </c>
      <c r="C205" s="204">
        <v>0</v>
      </c>
      <c r="D205" s="202">
        <f>+C205+B205</f>
        <v>26460000</v>
      </c>
      <c r="E205" s="202"/>
      <c r="F205" s="202"/>
      <c r="G205" s="202"/>
      <c r="H205" s="202">
        <f t="shared" ref="H205:H208" si="113">+E205+F205+G205</f>
        <v>0</v>
      </c>
      <c r="I205" s="202">
        <v>2753639</v>
      </c>
      <c r="J205" s="202"/>
      <c r="K205" s="202">
        <f>+I205+H205</f>
        <v>2753639</v>
      </c>
      <c r="L205" s="204">
        <f t="shared" si="111"/>
        <v>23706361</v>
      </c>
    </row>
    <row r="206" spans="1:12" ht="24" x14ac:dyDescent="0.25">
      <c r="A206" s="201" t="s">
        <v>86</v>
      </c>
      <c r="B206" s="202">
        <v>35280000</v>
      </c>
      <c r="C206" s="204">
        <v>0</v>
      </c>
      <c r="D206" s="202">
        <f>+C206+B206</f>
        <v>35280000</v>
      </c>
      <c r="E206" s="202"/>
      <c r="F206" s="202"/>
      <c r="G206" s="202"/>
      <c r="H206" s="202">
        <f t="shared" si="113"/>
        <v>0</v>
      </c>
      <c r="I206" s="202">
        <v>8987335.8200000003</v>
      </c>
      <c r="J206" s="202"/>
      <c r="K206" s="202">
        <f>+I206+H206</f>
        <v>8987335.8200000003</v>
      </c>
      <c r="L206" s="204">
        <f t="shared" si="111"/>
        <v>26292664.18</v>
      </c>
    </row>
    <row r="207" spans="1:12" x14ac:dyDescent="0.25">
      <c r="A207" s="201" t="s">
        <v>87</v>
      </c>
      <c r="B207" s="204">
        <v>0</v>
      </c>
      <c r="C207" s="204">
        <v>0</v>
      </c>
      <c r="D207" s="202">
        <f>+C207+B207</f>
        <v>0</v>
      </c>
      <c r="E207" s="202"/>
      <c r="F207" s="202"/>
      <c r="G207" s="202"/>
      <c r="H207" s="202">
        <f t="shared" si="113"/>
        <v>0</v>
      </c>
      <c r="I207" s="202"/>
      <c r="J207" s="202"/>
      <c r="K207" s="202">
        <f>+I207+H207</f>
        <v>0</v>
      </c>
      <c r="L207" s="204">
        <f t="shared" si="111"/>
        <v>0</v>
      </c>
    </row>
    <row r="208" spans="1:12" ht="24" x14ac:dyDescent="0.25">
      <c r="A208" s="201" t="s">
        <v>88</v>
      </c>
      <c r="B208" s="202">
        <v>393763321.94999999</v>
      </c>
      <c r="C208" s="204">
        <v>0</v>
      </c>
      <c r="D208" s="202">
        <f>+C208+B208</f>
        <v>393763321.94999999</v>
      </c>
      <c r="E208" s="202"/>
      <c r="F208" s="202"/>
      <c r="G208" s="202"/>
      <c r="H208" s="202">
        <f t="shared" si="113"/>
        <v>0</v>
      </c>
      <c r="I208" s="202">
        <v>38629488.659999996</v>
      </c>
      <c r="J208" s="202"/>
      <c r="K208" s="202">
        <f>+I208+H208</f>
        <v>38629488.659999996</v>
      </c>
      <c r="L208" s="204">
        <f t="shared" si="111"/>
        <v>355133833.28999996</v>
      </c>
    </row>
    <row r="209" spans="1:12" x14ac:dyDescent="0.25">
      <c r="A209" s="205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</row>
    <row r="210" spans="1:12" ht="24" x14ac:dyDescent="0.25">
      <c r="A210" s="197" t="s">
        <v>89</v>
      </c>
      <c r="B210" s="199">
        <f t="shared" ref="B210:L210" si="114">SUM(B211:B213)</f>
        <v>9350000</v>
      </c>
      <c r="C210" s="199">
        <f t="shared" si="114"/>
        <v>0</v>
      </c>
      <c r="D210" s="199">
        <f t="shared" si="114"/>
        <v>9350000</v>
      </c>
      <c r="E210" s="199">
        <f>(SUM(E211:E213))</f>
        <v>0</v>
      </c>
      <c r="F210" s="199">
        <f t="shared" si="114"/>
        <v>0</v>
      </c>
      <c r="G210" s="199">
        <f t="shared" si="114"/>
        <v>0</v>
      </c>
      <c r="H210" s="199">
        <f t="shared" si="114"/>
        <v>0</v>
      </c>
      <c r="I210" s="199">
        <f t="shared" si="114"/>
        <v>0</v>
      </c>
      <c r="J210" s="199">
        <f t="shared" si="114"/>
        <v>0</v>
      </c>
      <c r="K210" s="199">
        <f t="shared" si="114"/>
        <v>0</v>
      </c>
      <c r="L210" s="199">
        <f t="shared" si="114"/>
        <v>9350000</v>
      </c>
    </row>
    <row r="211" spans="1:12" x14ac:dyDescent="0.25">
      <c r="A211" s="201" t="s">
        <v>90</v>
      </c>
      <c r="B211" s="202">
        <v>0</v>
      </c>
      <c r="C211" s="204">
        <v>0</v>
      </c>
      <c r="D211" s="202">
        <f>+C211+B211</f>
        <v>0</v>
      </c>
      <c r="E211" s="202">
        <v>0</v>
      </c>
      <c r="F211" s="202"/>
      <c r="G211" s="202">
        <v>0</v>
      </c>
      <c r="H211" s="202">
        <f t="shared" ref="H211:H213" si="115">+E211+F211+G211</f>
        <v>0</v>
      </c>
      <c r="I211" s="202">
        <v>0</v>
      </c>
      <c r="J211" s="202">
        <v>0</v>
      </c>
      <c r="K211" s="202">
        <f>+I211+H211</f>
        <v>0</v>
      </c>
      <c r="L211" s="204">
        <f t="shared" ref="L211:L213" si="116">+D211-J211-K211</f>
        <v>0</v>
      </c>
    </row>
    <row r="212" spans="1:12" ht="24" x14ac:dyDescent="0.25">
      <c r="A212" s="201" t="s">
        <v>91</v>
      </c>
      <c r="B212" s="202">
        <v>9000000</v>
      </c>
      <c r="C212" s="204">
        <v>0</v>
      </c>
      <c r="D212" s="202">
        <f>+C212+B212</f>
        <v>9000000</v>
      </c>
      <c r="E212" s="202">
        <v>0</v>
      </c>
      <c r="F212" s="202"/>
      <c r="G212" s="202">
        <v>0</v>
      </c>
      <c r="H212" s="202">
        <f t="shared" si="115"/>
        <v>0</v>
      </c>
      <c r="I212" s="202">
        <v>0</v>
      </c>
      <c r="J212" s="202"/>
      <c r="K212" s="202">
        <f>+I212+H212</f>
        <v>0</v>
      </c>
      <c r="L212" s="204">
        <f t="shared" si="116"/>
        <v>9000000</v>
      </c>
    </row>
    <row r="213" spans="1:12" x14ac:dyDescent="0.25">
      <c r="A213" s="201" t="s">
        <v>92</v>
      </c>
      <c r="B213" s="202">
        <v>350000</v>
      </c>
      <c r="C213" s="204">
        <v>0</v>
      </c>
      <c r="D213" s="202">
        <f>+C213+B213</f>
        <v>350000</v>
      </c>
      <c r="E213" s="202">
        <v>0</v>
      </c>
      <c r="F213" s="202"/>
      <c r="G213" s="202">
        <v>0</v>
      </c>
      <c r="H213" s="202">
        <f t="shared" si="115"/>
        <v>0</v>
      </c>
      <c r="I213" s="202">
        <v>0</v>
      </c>
      <c r="J213" s="202"/>
      <c r="K213" s="202">
        <f>+I213+H213</f>
        <v>0</v>
      </c>
      <c r="L213" s="204">
        <f t="shared" si="116"/>
        <v>350000</v>
      </c>
    </row>
    <row r="214" spans="1:12" x14ac:dyDescent="0.25">
      <c r="A214" s="205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</row>
    <row r="215" spans="1:12" x14ac:dyDescent="0.25">
      <c r="A215" s="197" t="s">
        <v>95</v>
      </c>
      <c r="B215" s="199">
        <f>SUM(B216:B220)</f>
        <v>493832929.20000005</v>
      </c>
      <c r="C215" s="199">
        <f>SUM(C216:C220)</f>
        <v>0</v>
      </c>
      <c r="D215" s="199">
        <f>SUM(D216:D220)</f>
        <v>493832929.20000005</v>
      </c>
      <c r="E215" s="199">
        <f>(SUM(E216:E220))</f>
        <v>0</v>
      </c>
      <c r="F215" s="199">
        <f t="shared" ref="F215:L215" si="117">SUM(F216:F220)</f>
        <v>0</v>
      </c>
      <c r="G215" s="199">
        <f t="shared" si="117"/>
        <v>0</v>
      </c>
      <c r="H215" s="199">
        <f t="shared" si="117"/>
        <v>0</v>
      </c>
      <c r="I215" s="199">
        <f t="shared" si="117"/>
        <v>31100972.680000003</v>
      </c>
      <c r="J215" s="199">
        <f t="shared" si="117"/>
        <v>0</v>
      </c>
      <c r="K215" s="199">
        <f t="shared" si="117"/>
        <v>31100972.680000003</v>
      </c>
      <c r="L215" s="199">
        <f t="shared" si="117"/>
        <v>462731956.52000004</v>
      </c>
    </row>
    <row r="216" spans="1:12" ht="24" x14ac:dyDescent="0.25">
      <c r="A216" s="201" t="s">
        <v>170</v>
      </c>
      <c r="B216" s="204">
        <v>47405901.140000001</v>
      </c>
      <c r="C216" s="204">
        <v>0</v>
      </c>
      <c r="D216" s="202">
        <f>+C216+B216</f>
        <v>47405901.140000001</v>
      </c>
      <c r="E216" s="202"/>
      <c r="F216" s="202"/>
      <c r="G216" s="202"/>
      <c r="H216" s="202">
        <f t="shared" ref="H216:H220" si="118">+E216+F216+G216</f>
        <v>0</v>
      </c>
      <c r="I216" s="202">
        <v>1965831.73</v>
      </c>
      <c r="J216" s="202"/>
      <c r="K216" s="202">
        <f>+I216+H216</f>
        <v>1965831.73</v>
      </c>
      <c r="L216" s="204">
        <f t="shared" ref="L216:L220" si="119">+D216-J216-K216</f>
        <v>45440069.410000004</v>
      </c>
    </row>
    <row r="217" spans="1:12" ht="24" x14ac:dyDescent="0.25">
      <c r="A217" s="201" t="s">
        <v>97</v>
      </c>
      <c r="B217" s="204">
        <v>0</v>
      </c>
      <c r="C217" s="204">
        <v>0</v>
      </c>
      <c r="D217" s="202">
        <f>+C217+B217</f>
        <v>0</v>
      </c>
      <c r="E217" s="202">
        <v>0</v>
      </c>
      <c r="F217" s="202"/>
      <c r="G217" s="202">
        <v>0</v>
      </c>
      <c r="H217" s="202">
        <f t="shared" si="118"/>
        <v>0</v>
      </c>
      <c r="I217" s="202"/>
      <c r="J217" s="202"/>
      <c r="K217" s="202">
        <f>+I217+H217</f>
        <v>0</v>
      </c>
      <c r="L217" s="204">
        <f t="shared" si="119"/>
        <v>0</v>
      </c>
    </row>
    <row r="218" spans="1:12" x14ac:dyDescent="0.25">
      <c r="A218" s="201" t="s">
        <v>171</v>
      </c>
      <c r="B218" s="204">
        <v>0</v>
      </c>
      <c r="C218" s="204">
        <v>0</v>
      </c>
      <c r="D218" s="202">
        <f>+C218+B218</f>
        <v>0</v>
      </c>
      <c r="E218" s="202"/>
      <c r="F218" s="202"/>
      <c r="G218" s="202"/>
      <c r="H218" s="202">
        <f t="shared" si="118"/>
        <v>0</v>
      </c>
      <c r="I218" s="202"/>
      <c r="J218" s="202"/>
      <c r="K218" s="202">
        <f>+I218+H218</f>
        <v>0</v>
      </c>
      <c r="L218" s="204">
        <f t="shared" si="119"/>
        <v>0</v>
      </c>
    </row>
    <row r="219" spans="1:12" x14ac:dyDescent="0.25">
      <c r="A219" s="201" t="s">
        <v>98</v>
      </c>
      <c r="B219" s="204">
        <v>267730976.09999999</v>
      </c>
      <c r="C219" s="204">
        <v>0</v>
      </c>
      <c r="D219" s="202">
        <f>+C219+B219</f>
        <v>267730976.09999999</v>
      </c>
      <c r="E219" s="202"/>
      <c r="F219" s="202"/>
      <c r="G219" s="202"/>
      <c r="H219" s="202">
        <f t="shared" si="118"/>
        <v>0</v>
      </c>
      <c r="I219" s="202">
        <v>22420161.170000002</v>
      </c>
      <c r="J219" s="202">
        <v>0</v>
      </c>
      <c r="K219" s="202">
        <f>+I219+H219</f>
        <v>22420161.170000002</v>
      </c>
      <c r="L219" s="204">
        <f t="shared" si="119"/>
        <v>245310814.93000001</v>
      </c>
    </row>
    <row r="220" spans="1:12" ht="24" x14ac:dyDescent="0.25">
      <c r="A220" s="201" t="s">
        <v>99</v>
      </c>
      <c r="B220" s="204">
        <v>178696051.96000001</v>
      </c>
      <c r="C220" s="204">
        <v>0</v>
      </c>
      <c r="D220" s="202">
        <f>+C220+B220</f>
        <v>178696051.96000001</v>
      </c>
      <c r="E220" s="202"/>
      <c r="F220" s="202"/>
      <c r="G220" s="202"/>
      <c r="H220" s="202">
        <f t="shared" si="118"/>
        <v>0</v>
      </c>
      <c r="I220" s="202">
        <v>6714979.7800000003</v>
      </c>
      <c r="J220" s="202">
        <v>0</v>
      </c>
      <c r="K220" s="202">
        <f>+I220+H220</f>
        <v>6714979.7800000003</v>
      </c>
      <c r="L220" s="204">
        <f t="shared" si="119"/>
        <v>171981072.18000001</v>
      </c>
    </row>
    <row r="221" spans="1:12" x14ac:dyDescent="0.25">
      <c r="A221" s="205"/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</row>
    <row r="222" spans="1:12" ht="24" x14ac:dyDescent="0.25">
      <c r="A222" s="197" t="s">
        <v>100</v>
      </c>
      <c r="B222" s="199">
        <f>SUM(B223:B226)</f>
        <v>25068010</v>
      </c>
      <c r="C222" s="199">
        <f>SUM(C223:C226)</f>
        <v>0</v>
      </c>
      <c r="D222" s="199">
        <f>SUM(D223:D226)</f>
        <v>25068010</v>
      </c>
      <c r="E222" s="199">
        <f>(SUM(E223:E226))</f>
        <v>0</v>
      </c>
      <c r="F222" s="199">
        <f t="shared" ref="F222:L222" si="120">SUM(F223:F226)</f>
        <v>0</v>
      </c>
      <c r="G222" s="199">
        <f t="shared" si="120"/>
        <v>0</v>
      </c>
      <c r="H222" s="199">
        <f t="shared" si="120"/>
        <v>0</v>
      </c>
      <c r="I222" s="199">
        <f t="shared" si="120"/>
        <v>4005050</v>
      </c>
      <c r="J222" s="199">
        <f t="shared" si="120"/>
        <v>0</v>
      </c>
      <c r="K222" s="199">
        <f t="shared" si="120"/>
        <v>4005050</v>
      </c>
      <c r="L222" s="199">
        <f t="shared" si="120"/>
        <v>21062960</v>
      </c>
    </row>
    <row r="223" spans="1:12" ht="24" x14ac:dyDescent="0.25">
      <c r="A223" s="201" t="s">
        <v>101</v>
      </c>
      <c r="B223" s="204">
        <v>4900000</v>
      </c>
      <c r="C223" s="204">
        <v>0</v>
      </c>
      <c r="D223" s="202">
        <f>+C223+B223</f>
        <v>4900000</v>
      </c>
      <c r="E223" s="202"/>
      <c r="F223" s="202"/>
      <c r="G223" s="202"/>
      <c r="H223" s="202">
        <f t="shared" ref="H223:H226" si="121">+E223+F223+G223</f>
        <v>0</v>
      </c>
      <c r="I223" s="202">
        <v>4450</v>
      </c>
      <c r="J223" s="202"/>
      <c r="K223" s="202">
        <f>+I223+H223</f>
        <v>4450</v>
      </c>
      <c r="L223" s="204">
        <f t="shared" ref="L223:L226" si="122">+D223-J223-K223</f>
        <v>4895550</v>
      </c>
    </row>
    <row r="224" spans="1:12" x14ac:dyDescent="0.25">
      <c r="A224" s="201" t="s">
        <v>102</v>
      </c>
      <c r="B224" s="204">
        <v>20168010</v>
      </c>
      <c r="C224" s="204">
        <v>0</v>
      </c>
      <c r="D224" s="202">
        <f>+C224+B224</f>
        <v>20168010</v>
      </c>
      <c r="E224" s="202"/>
      <c r="F224" s="202"/>
      <c r="G224" s="202"/>
      <c r="H224" s="202">
        <f t="shared" si="121"/>
        <v>0</v>
      </c>
      <c r="I224" s="202">
        <v>4000600</v>
      </c>
      <c r="J224" s="202"/>
      <c r="K224" s="202">
        <f>+I224+H224</f>
        <v>4000600</v>
      </c>
      <c r="L224" s="204">
        <f t="shared" si="122"/>
        <v>16167410</v>
      </c>
    </row>
    <row r="225" spans="1:12" ht="24" x14ac:dyDescent="0.25">
      <c r="A225" s="201" t="s">
        <v>172</v>
      </c>
      <c r="B225" s="204">
        <v>0</v>
      </c>
      <c r="C225" s="204">
        <v>0</v>
      </c>
      <c r="D225" s="202">
        <f>+C225+B225</f>
        <v>0</v>
      </c>
      <c r="E225" s="202"/>
      <c r="F225" s="202"/>
      <c r="G225" s="202"/>
      <c r="H225" s="202">
        <f t="shared" si="121"/>
        <v>0</v>
      </c>
      <c r="I225" s="202"/>
      <c r="J225" s="202"/>
      <c r="K225" s="202">
        <f>+I225+H225</f>
        <v>0</v>
      </c>
      <c r="L225" s="204">
        <f t="shared" si="122"/>
        <v>0</v>
      </c>
    </row>
    <row r="226" spans="1:12" x14ac:dyDescent="0.25">
      <c r="A226" s="201" t="s">
        <v>103</v>
      </c>
      <c r="B226" s="204">
        <v>0</v>
      </c>
      <c r="C226" s="204">
        <v>0</v>
      </c>
      <c r="D226" s="202">
        <f>+C226+B226</f>
        <v>0</v>
      </c>
      <c r="E226" s="202"/>
      <c r="F226" s="202"/>
      <c r="G226" s="202"/>
      <c r="H226" s="202">
        <f t="shared" si="121"/>
        <v>0</v>
      </c>
      <c r="I226" s="202"/>
      <c r="J226" s="202"/>
      <c r="K226" s="202">
        <f>+I226+H226</f>
        <v>0</v>
      </c>
      <c r="L226" s="204">
        <f t="shared" si="122"/>
        <v>0</v>
      </c>
    </row>
    <row r="227" spans="1:12" x14ac:dyDescent="0.25">
      <c r="A227" s="205"/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</row>
    <row r="228" spans="1:12" ht="24" x14ac:dyDescent="0.25">
      <c r="A228" s="197" t="s">
        <v>104</v>
      </c>
      <c r="B228" s="199">
        <f>SUM(B229)</f>
        <v>59811418.799999997</v>
      </c>
      <c r="C228" s="199">
        <f>SUM(C229)</f>
        <v>0</v>
      </c>
      <c r="D228" s="199">
        <f>SUM(D229)</f>
        <v>59811418.799999997</v>
      </c>
      <c r="E228" s="199">
        <f>(SUM(E229))</f>
        <v>0</v>
      </c>
      <c r="F228" s="199">
        <f t="shared" ref="F228:L228" si="123">SUM(F229)</f>
        <v>0</v>
      </c>
      <c r="G228" s="199">
        <f t="shared" si="123"/>
        <v>0</v>
      </c>
      <c r="H228" s="199">
        <f t="shared" si="123"/>
        <v>0</v>
      </c>
      <c r="I228" s="199">
        <f t="shared" si="123"/>
        <v>25524151.620000001</v>
      </c>
      <c r="J228" s="199">
        <f t="shared" si="123"/>
        <v>0</v>
      </c>
      <c r="K228" s="199">
        <f t="shared" si="123"/>
        <v>25524151.620000001</v>
      </c>
      <c r="L228" s="199">
        <f t="shared" si="123"/>
        <v>34287267.179999992</v>
      </c>
    </row>
    <row r="229" spans="1:12" x14ac:dyDescent="0.25">
      <c r="A229" s="201" t="s">
        <v>173</v>
      </c>
      <c r="B229" s="204">
        <v>59811418.799999997</v>
      </c>
      <c r="C229" s="204">
        <v>0</v>
      </c>
      <c r="D229" s="202">
        <f>+C229+B229</f>
        <v>59811418.799999997</v>
      </c>
      <c r="E229" s="202"/>
      <c r="F229" s="202"/>
      <c r="G229" s="202"/>
      <c r="H229" s="202">
        <f t="shared" ref="H229" si="124">+E229+F229+G229</f>
        <v>0</v>
      </c>
      <c r="I229" s="202">
        <v>25524151.620000001</v>
      </c>
      <c r="J229" s="202"/>
      <c r="K229" s="202">
        <f>+I229+H229</f>
        <v>25524151.620000001</v>
      </c>
      <c r="L229" s="204">
        <f t="shared" ref="L229" si="125">+D229-J229-K229</f>
        <v>34287267.179999992</v>
      </c>
    </row>
    <row r="230" spans="1:12" x14ac:dyDescent="0.25">
      <c r="A230" s="205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</row>
    <row r="231" spans="1:12" x14ac:dyDescent="0.25">
      <c r="A231" s="197" t="s">
        <v>106</v>
      </c>
      <c r="B231" s="199">
        <f>SUM(B232:B233)</f>
        <v>46794000</v>
      </c>
      <c r="C231" s="199">
        <f>SUM(C232:C233)</f>
        <v>0</v>
      </c>
      <c r="D231" s="199">
        <f>SUM(D232:D233)</f>
        <v>46794000</v>
      </c>
      <c r="E231" s="199">
        <f>(SUM(E232:E233))</f>
        <v>0</v>
      </c>
      <c r="F231" s="199">
        <f t="shared" ref="F231:L231" si="126">SUM(F232:F233)</f>
        <v>0</v>
      </c>
      <c r="G231" s="199">
        <f t="shared" si="126"/>
        <v>0</v>
      </c>
      <c r="H231" s="199">
        <f t="shared" si="126"/>
        <v>0</v>
      </c>
      <c r="I231" s="199">
        <f t="shared" si="126"/>
        <v>250000</v>
      </c>
      <c r="J231" s="199">
        <f t="shared" si="126"/>
        <v>0</v>
      </c>
      <c r="K231" s="199">
        <f t="shared" si="126"/>
        <v>250000</v>
      </c>
      <c r="L231" s="199">
        <f t="shared" si="126"/>
        <v>46544000</v>
      </c>
    </row>
    <row r="232" spans="1:12" ht="24" x14ac:dyDescent="0.25">
      <c r="A232" s="201" t="s">
        <v>107</v>
      </c>
      <c r="B232" s="202">
        <v>30300000</v>
      </c>
      <c r="C232" s="204">
        <v>0</v>
      </c>
      <c r="D232" s="202">
        <f>+C232+B232</f>
        <v>30300000</v>
      </c>
      <c r="E232" s="202"/>
      <c r="F232" s="202"/>
      <c r="G232" s="202"/>
      <c r="H232" s="202">
        <f t="shared" ref="H232:H233" si="127">+E232+F232+G232</f>
        <v>0</v>
      </c>
      <c r="I232" s="202"/>
      <c r="J232" s="202"/>
      <c r="K232" s="202">
        <f>+I232+H232</f>
        <v>0</v>
      </c>
      <c r="L232" s="204">
        <f t="shared" ref="L232:L233" si="128">+D232-J232-K232</f>
        <v>30300000</v>
      </c>
    </row>
    <row r="233" spans="1:12" ht="24" x14ac:dyDescent="0.25">
      <c r="A233" s="201" t="s">
        <v>108</v>
      </c>
      <c r="B233" s="202">
        <v>16494000</v>
      </c>
      <c r="C233" s="204">
        <v>0</v>
      </c>
      <c r="D233" s="202">
        <f>+C233+B233</f>
        <v>16494000</v>
      </c>
      <c r="E233" s="202"/>
      <c r="F233" s="202"/>
      <c r="G233" s="202"/>
      <c r="H233" s="202">
        <f t="shared" si="127"/>
        <v>0</v>
      </c>
      <c r="I233" s="202">
        <v>250000</v>
      </c>
      <c r="J233" s="202">
        <v>0</v>
      </c>
      <c r="K233" s="202">
        <f>+I233+H233</f>
        <v>250000</v>
      </c>
      <c r="L233" s="204">
        <f t="shared" si="128"/>
        <v>16244000</v>
      </c>
    </row>
    <row r="234" spans="1:12" x14ac:dyDescent="0.25">
      <c r="A234" s="205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</row>
    <row r="235" spans="1:12" x14ac:dyDescent="0.25">
      <c r="A235" s="197" t="s">
        <v>110</v>
      </c>
      <c r="B235" s="199">
        <f>SUM(B236:B242)</f>
        <v>106263362.81999999</v>
      </c>
      <c r="C235" s="199">
        <f>SUM(C236:C242)</f>
        <v>0</v>
      </c>
      <c r="D235" s="199">
        <f>SUM(D236:D242)</f>
        <v>106263362.81999999</v>
      </c>
      <c r="E235" s="199">
        <f>(SUM(E236:E242))</f>
        <v>0</v>
      </c>
      <c r="F235" s="199">
        <f t="shared" ref="F235:L235" si="129">SUM(F236:F242)</f>
        <v>0</v>
      </c>
      <c r="G235" s="199">
        <f t="shared" si="129"/>
        <v>0</v>
      </c>
      <c r="H235" s="199">
        <f t="shared" si="129"/>
        <v>0</v>
      </c>
      <c r="I235" s="199">
        <f t="shared" si="129"/>
        <v>2681254.67</v>
      </c>
      <c r="J235" s="199">
        <f t="shared" si="129"/>
        <v>0</v>
      </c>
      <c r="K235" s="199">
        <f t="shared" si="129"/>
        <v>2681254.67</v>
      </c>
      <c r="L235" s="199">
        <f t="shared" si="129"/>
        <v>103582108.14999999</v>
      </c>
    </row>
    <row r="236" spans="1:12" ht="24" x14ac:dyDescent="0.25">
      <c r="A236" s="201" t="s">
        <v>111</v>
      </c>
      <c r="B236" s="202">
        <v>19308378.890000001</v>
      </c>
      <c r="C236" s="204">
        <v>0</v>
      </c>
      <c r="D236" s="202">
        <f t="shared" ref="D236:D242" si="130">+C236+B236</f>
        <v>19308378.890000001</v>
      </c>
      <c r="E236" s="202"/>
      <c r="F236" s="202"/>
      <c r="G236" s="202"/>
      <c r="H236" s="202">
        <f t="shared" ref="H236:H242" si="131">+E236+F236+G236</f>
        <v>0</v>
      </c>
      <c r="I236" s="202">
        <v>0</v>
      </c>
      <c r="J236" s="202"/>
      <c r="K236" s="202">
        <f t="shared" ref="K236:K242" si="132">+I236+H236</f>
        <v>0</v>
      </c>
      <c r="L236" s="204">
        <f t="shared" ref="L236:L242" si="133">+D236-J236-K236</f>
        <v>19308378.890000001</v>
      </c>
    </row>
    <row r="237" spans="1:12" ht="36" x14ac:dyDescent="0.25">
      <c r="A237" s="201" t="s">
        <v>174</v>
      </c>
      <c r="B237" s="202">
        <v>3000000</v>
      </c>
      <c r="C237" s="204">
        <v>0</v>
      </c>
      <c r="D237" s="202">
        <f t="shared" si="130"/>
        <v>3000000</v>
      </c>
      <c r="E237" s="202"/>
      <c r="F237" s="202"/>
      <c r="G237" s="202"/>
      <c r="H237" s="202">
        <f t="shared" si="131"/>
        <v>0</v>
      </c>
      <c r="I237" s="202">
        <v>0</v>
      </c>
      <c r="J237" s="202"/>
      <c r="K237" s="202">
        <f t="shared" si="132"/>
        <v>0</v>
      </c>
      <c r="L237" s="204">
        <f t="shared" si="133"/>
        <v>3000000</v>
      </c>
    </row>
    <row r="238" spans="1:12" ht="24" x14ac:dyDescent="0.25">
      <c r="A238" s="201" t="s">
        <v>112</v>
      </c>
      <c r="B238" s="202">
        <v>50728687.909999996</v>
      </c>
      <c r="C238" s="204">
        <v>0</v>
      </c>
      <c r="D238" s="202">
        <f t="shared" si="130"/>
        <v>50728687.909999996</v>
      </c>
      <c r="E238" s="202"/>
      <c r="F238" s="202"/>
      <c r="G238" s="202"/>
      <c r="H238" s="202">
        <f t="shared" si="131"/>
        <v>0</v>
      </c>
      <c r="I238" s="202">
        <v>132710</v>
      </c>
      <c r="J238" s="202"/>
      <c r="K238" s="202">
        <f t="shared" si="132"/>
        <v>132710</v>
      </c>
      <c r="L238" s="204">
        <f t="shared" si="133"/>
        <v>50595977.909999996</v>
      </c>
    </row>
    <row r="239" spans="1:12" ht="24" x14ac:dyDescent="0.25">
      <c r="A239" s="201" t="s">
        <v>175</v>
      </c>
      <c r="B239" s="202">
        <v>2000000</v>
      </c>
      <c r="C239" s="204">
        <v>0</v>
      </c>
      <c r="D239" s="202">
        <f t="shared" si="130"/>
        <v>2000000</v>
      </c>
      <c r="E239" s="202"/>
      <c r="F239" s="202"/>
      <c r="G239" s="202"/>
      <c r="H239" s="202">
        <f t="shared" si="131"/>
        <v>0</v>
      </c>
      <c r="I239" s="202"/>
      <c r="J239" s="202"/>
      <c r="K239" s="202">
        <f t="shared" si="132"/>
        <v>0</v>
      </c>
      <c r="L239" s="204">
        <f t="shared" si="133"/>
        <v>2000000</v>
      </c>
    </row>
    <row r="240" spans="1:12" x14ac:dyDescent="0.25">
      <c r="A240" s="201" t="s">
        <v>113</v>
      </c>
      <c r="B240" s="202">
        <v>5442696</v>
      </c>
      <c r="C240" s="204">
        <v>0</v>
      </c>
      <c r="D240" s="202">
        <f t="shared" si="130"/>
        <v>5442696</v>
      </c>
      <c r="E240" s="202"/>
      <c r="F240" s="202"/>
      <c r="G240" s="202"/>
      <c r="H240" s="202">
        <f t="shared" si="131"/>
        <v>0</v>
      </c>
      <c r="I240" s="202"/>
      <c r="J240" s="202"/>
      <c r="K240" s="202">
        <f t="shared" si="132"/>
        <v>0</v>
      </c>
      <c r="L240" s="204">
        <f t="shared" si="133"/>
        <v>5442696</v>
      </c>
    </row>
    <row r="241" spans="1:12" ht="36" x14ac:dyDescent="0.25">
      <c r="A241" s="201" t="s">
        <v>114</v>
      </c>
      <c r="B241" s="202">
        <v>14600000</v>
      </c>
      <c r="C241" s="204">
        <v>0</v>
      </c>
      <c r="D241" s="202">
        <f t="shared" si="130"/>
        <v>14600000</v>
      </c>
      <c r="E241" s="202"/>
      <c r="F241" s="202"/>
      <c r="G241" s="202"/>
      <c r="H241" s="202">
        <f t="shared" si="131"/>
        <v>0</v>
      </c>
      <c r="I241" s="202">
        <v>2309549.67</v>
      </c>
      <c r="J241" s="202"/>
      <c r="K241" s="202">
        <f t="shared" si="132"/>
        <v>2309549.67</v>
      </c>
      <c r="L241" s="204">
        <f t="shared" si="133"/>
        <v>12290450.33</v>
      </c>
    </row>
    <row r="242" spans="1:12" ht="24" x14ac:dyDescent="0.25">
      <c r="A242" s="201" t="s">
        <v>115</v>
      </c>
      <c r="B242" s="202">
        <v>11183600.02</v>
      </c>
      <c r="C242" s="204">
        <v>0</v>
      </c>
      <c r="D242" s="202">
        <f t="shared" si="130"/>
        <v>11183600.02</v>
      </c>
      <c r="E242" s="202"/>
      <c r="F242" s="202"/>
      <c r="G242" s="202"/>
      <c r="H242" s="202">
        <f t="shared" si="131"/>
        <v>0</v>
      </c>
      <c r="I242" s="202">
        <v>238995</v>
      </c>
      <c r="J242" s="202"/>
      <c r="K242" s="202">
        <f t="shared" si="132"/>
        <v>238995</v>
      </c>
      <c r="L242" s="204">
        <f t="shared" si="133"/>
        <v>10944605.02</v>
      </c>
    </row>
    <row r="243" spans="1:12" x14ac:dyDescent="0.25">
      <c r="A243" s="205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</row>
    <row r="244" spans="1:12" x14ac:dyDescent="0.25">
      <c r="A244" s="197" t="s">
        <v>116</v>
      </c>
      <c r="B244" s="199">
        <f>SUM(B245:B246)</f>
        <v>1750000</v>
      </c>
      <c r="C244" s="199">
        <f>SUM(C245:C246)</f>
        <v>0</v>
      </c>
      <c r="D244" s="199">
        <f>SUM(D245:D246)</f>
        <v>1750000</v>
      </c>
      <c r="E244" s="199">
        <f t="shared" ref="E244:L244" si="134">SUM(E245:E246)</f>
        <v>0</v>
      </c>
      <c r="F244" s="199">
        <f t="shared" si="134"/>
        <v>0</v>
      </c>
      <c r="G244" s="199">
        <f t="shared" si="134"/>
        <v>0</v>
      </c>
      <c r="H244" s="199">
        <f t="shared" si="134"/>
        <v>0</v>
      </c>
      <c r="I244" s="199">
        <f t="shared" si="134"/>
        <v>0</v>
      </c>
      <c r="J244" s="199">
        <f t="shared" si="134"/>
        <v>0</v>
      </c>
      <c r="K244" s="199">
        <f t="shared" si="134"/>
        <v>0</v>
      </c>
      <c r="L244" s="199">
        <f t="shared" si="134"/>
        <v>1750000</v>
      </c>
    </row>
    <row r="245" spans="1:12" ht="24" x14ac:dyDescent="0.25">
      <c r="A245" s="201" t="s">
        <v>691</v>
      </c>
      <c r="B245" s="202">
        <v>300000</v>
      </c>
      <c r="C245" s="199"/>
      <c r="D245" s="202">
        <f>+C245+B245</f>
        <v>300000</v>
      </c>
      <c r="E245" s="199"/>
      <c r="F245" s="199"/>
      <c r="G245" s="199"/>
      <c r="H245" s="202">
        <f t="shared" ref="H245:H246" si="135">+E245+F245+G245</f>
        <v>0</v>
      </c>
      <c r="I245" s="202"/>
      <c r="J245" s="199"/>
      <c r="K245" s="202">
        <f>+I245+H245</f>
        <v>0</v>
      </c>
      <c r="L245" s="204">
        <f t="shared" ref="L245:L246" si="136">+D245-J245-K245</f>
        <v>300000</v>
      </c>
    </row>
    <row r="246" spans="1:12" x14ac:dyDescent="0.25">
      <c r="A246" s="201" t="s">
        <v>117</v>
      </c>
      <c r="B246" s="204">
        <v>1450000</v>
      </c>
      <c r="C246" s="204">
        <v>0</v>
      </c>
      <c r="D246" s="202">
        <f>+C246+B246</f>
        <v>1450000</v>
      </c>
      <c r="E246" s="202">
        <v>0</v>
      </c>
      <c r="F246" s="202"/>
      <c r="G246" s="202">
        <v>0</v>
      </c>
      <c r="H246" s="202">
        <f t="shared" si="135"/>
        <v>0</v>
      </c>
      <c r="I246" s="202">
        <v>0</v>
      </c>
      <c r="J246" s="202"/>
      <c r="K246" s="202">
        <f>+I246+H246</f>
        <v>0</v>
      </c>
      <c r="L246" s="204">
        <f t="shared" si="136"/>
        <v>1450000</v>
      </c>
    </row>
    <row r="247" spans="1:12" x14ac:dyDescent="0.25">
      <c r="A247" s="205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</row>
    <row r="248" spans="1:12" x14ac:dyDescent="0.25">
      <c r="A248" s="197" t="s">
        <v>118</v>
      </c>
      <c r="B248" s="200">
        <f>+B249</f>
        <v>2000000</v>
      </c>
      <c r="C248" s="200">
        <f>+C249</f>
        <v>0</v>
      </c>
      <c r="D248" s="200">
        <f t="shared" ref="D248:L248" si="137">+D249</f>
        <v>2000000</v>
      </c>
      <c r="E248" s="200">
        <f>(+E249)</f>
        <v>0</v>
      </c>
      <c r="F248" s="200">
        <f t="shared" si="137"/>
        <v>0</v>
      </c>
      <c r="G248" s="200">
        <f t="shared" si="137"/>
        <v>0</v>
      </c>
      <c r="H248" s="200">
        <f t="shared" si="137"/>
        <v>0</v>
      </c>
      <c r="I248" s="200">
        <f t="shared" si="137"/>
        <v>0</v>
      </c>
      <c r="J248" s="200">
        <f t="shared" si="137"/>
        <v>0</v>
      </c>
      <c r="K248" s="200">
        <f t="shared" si="137"/>
        <v>0</v>
      </c>
      <c r="L248" s="200">
        <f t="shared" si="137"/>
        <v>2000000</v>
      </c>
    </row>
    <row r="249" spans="1:12" x14ac:dyDescent="0.25">
      <c r="A249" s="201" t="s">
        <v>119</v>
      </c>
      <c r="B249" s="204">
        <v>2000000</v>
      </c>
      <c r="C249" s="204">
        <v>0</v>
      </c>
      <c r="D249" s="202">
        <f>+C249+B249</f>
        <v>2000000</v>
      </c>
      <c r="E249" s="202"/>
      <c r="F249" s="202"/>
      <c r="G249" s="202">
        <v>0</v>
      </c>
      <c r="H249" s="202">
        <f t="shared" ref="H249" si="138">+E249+F249+G249</f>
        <v>0</v>
      </c>
      <c r="I249" s="202">
        <v>0</v>
      </c>
      <c r="J249" s="202"/>
      <c r="K249" s="202">
        <f>+I249+H249</f>
        <v>0</v>
      </c>
      <c r="L249" s="204">
        <f t="shared" ref="L249" si="139">+D249-J249-K249</f>
        <v>2000000</v>
      </c>
    </row>
    <row r="250" spans="1:12" x14ac:dyDescent="0.25">
      <c r="A250" s="201"/>
      <c r="B250" s="202"/>
      <c r="C250" s="202"/>
      <c r="D250" s="202"/>
      <c r="E250" s="204"/>
      <c r="F250" s="202"/>
      <c r="G250" s="202"/>
      <c r="H250" s="204"/>
      <c r="I250" s="204"/>
      <c r="J250" s="204"/>
      <c r="K250" s="202"/>
      <c r="L250" s="204"/>
    </row>
    <row r="251" spans="1:12" x14ac:dyDescent="0.25">
      <c r="A251" s="197" t="s">
        <v>120</v>
      </c>
      <c r="B251" s="206">
        <f>+B252+B257+B260+B269+B273</f>
        <v>151540179.5</v>
      </c>
      <c r="C251" s="206">
        <f t="shared" ref="C251:L251" si="140">+C252+C257+C260+C269+C273</f>
        <v>0</v>
      </c>
      <c r="D251" s="206">
        <f t="shared" si="140"/>
        <v>151540179.5</v>
      </c>
      <c r="E251" s="206">
        <f>(+E252+E257+E260+E269+E273)</f>
        <v>0</v>
      </c>
      <c r="F251" s="206">
        <f t="shared" si="140"/>
        <v>0</v>
      </c>
      <c r="G251" s="206">
        <f t="shared" si="140"/>
        <v>0</v>
      </c>
      <c r="H251" s="206">
        <f t="shared" si="140"/>
        <v>0</v>
      </c>
      <c r="I251" s="206">
        <f t="shared" si="140"/>
        <v>4425429.6500000004</v>
      </c>
      <c r="J251" s="206">
        <f t="shared" si="140"/>
        <v>0</v>
      </c>
      <c r="K251" s="206">
        <f t="shared" si="140"/>
        <v>4425429.6500000004</v>
      </c>
      <c r="L251" s="206">
        <f t="shared" si="140"/>
        <v>147114749.85000002</v>
      </c>
    </row>
    <row r="252" spans="1:12" ht="24" x14ac:dyDescent="0.25">
      <c r="A252" s="197" t="s">
        <v>121</v>
      </c>
      <c r="B252" s="199">
        <f>SUM(B253:B255)</f>
        <v>29158865</v>
      </c>
      <c r="C252" s="199">
        <f>SUM(C253:C255)</f>
        <v>0</v>
      </c>
      <c r="D252" s="199">
        <f>SUM(D253:D255)</f>
        <v>29158865</v>
      </c>
      <c r="E252" s="199">
        <f>(SUM(E253:E255))</f>
        <v>0</v>
      </c>
      <c r="F252" s="199">
        <f t="shared" ref="F252:L252" si="141">SUM(F253:F255)</f>
        <v>0</v>
      </c>
      <c r="G252" s="199">
        <f t="shared" si="141"/>
        <v>0</v>
      </c>
      <c r="H252" s="199">
        <f t="shared" si="141"/>
        <v>0</v>
      </c>
      <c r="I252" s="199">
        <f t="shared" si="141"/>
        <v>1568302.5</v>
      </c>
      <c r="J252" s="199">
        <f t="shared" si="141"/>
        <v>0</v>
      </c>
      <c r="K252" s="199">
        <f t="shared" si="141"/>
        <v>1568302.5</v>
      </c>
      <c r="L252" s="199">
        <f t="shared" si="141"/>
        <v>27590562.5</v>
      </c>
    </row>
    <row r="253" spans="1:12" ht="24" x14ac:dyDescent="0.25">
      <c r="A253" s="201" t="s">
        <v>176</v>
      </c>
      <c r="B253" s="202">
        <v>27370000</v>
      </c>
      <c r="C253" s="204">
        <v>0</v>
      </c>
      <c r="D253" s="202">
        <f>+C253+B253</f>
        <v>27370000</v>
      </c>
      <c r="E253" s="202"/>
      <c r="F253" s="202"/>
      <c r="G253" s="202"/>
      <c r="H253" s="202">
        <f t="shared" ref="H253:H255" si="142">+E253+F253+G253</f>
        <v>0</v>
      </c>
      <c r="I253" s="202">
        <v>1475134</v>
      </c>
      <c r="J253" s="202"/>
      <c r="K253" s="202">
        <f>+I253+H253</f>
        <v>1475134</v>
      </c>
      <c r="L253" s="204">
        <f t="shared" ref="L253:L255" si="143">+D253-J253-K253</f>
        <v>25894866</v>
      </c>
    </row>
    <row r="254" spans="1:12" ht="24" x14ac:dyDescent="0.25">
      <c r="A254" s="201" t="s">
        <v>177</v>
      </c>
      <c r="B254" s="202">
        <v>1788865</v>
      </c>
      <c r="C254" s="204">
        <v>0</v>
      </c>
      <c r="D254" s="202">
        <f>+C254+B254</f>
        <v>1788865</v>
      </c>
      <c r="E254" s="202"/>
      <c r="F254" s="202"/>
      <c r="G254" s="202"/>
      <c r="H254" s="202">
        <f t="shared" si="142"/>
        <v>0</v>
      </c>
      <c r="I254" s="202">
        <v>93168.5</v>
      </c>
      <c r="J254" s="202">
        <v>0</v>
      </c>
      <c r="K254" s="202">
        <f>+I254+H254</f>
        <v>93168.5</v>
      </c>
      <c r="L254" s="204">
        <f t="shared" si="143"/>
        <v>1695696.5</v>
      </c>
    </row>
    <row r="255" spans="1:12" ht="24" x14ac:dyDescent="0.25">
      <c r="A255" s="201" t="s">
        <v>178</v>
      </c>
      <c r="B255" s="204">
        <v>0</v>
      </c>
      <c r="C255" s="204">
        <v>0</v>
      </c>
      <c r="D255" s="202">
        <f>+C255+B255</f>
        <v>0</v>
      </c>
      <c r="E255" s="202"/>
      <c r="F255" s="202"/>
      <c r="G255" s="202"/>
      <c r="H255" s="202">
        <f t="shared" si="142"/>
        <v>0</v>
      </c>
      <c r="I255" s="202"/>
      <c r="J255" s="202"/>
      <c r="K255" s="202">
        <f>+I255+H255</f>
        <v>0</v>
      </c>
      <c r="L255" s="204">
        <f t="shared" si="143"/>
        <v>0</v>
      </c>
    </row>
    <row r="256" spans="1:12" x14ac:dyDescent="0.25">
      <c r="A256" s="205"/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</row>
    <row r="257" spans="1:12" ht="24" x14ac:dyDescent="0.25">
      <c r="A257" s="197" t="s">
        <v>126</v>
      </c>
      <c r="B257" s="199">
        <f>+B258</f>
        <v>34052625</v>
      </c>
      <c r="C257" s="199">
        <f>+C258</f>
        <v>0</v>
      </c>
      <c r="D257" s="199">
        <f>+D258</f>
        <v>34052625</v>
      </c>
      <c r="E257" s="199">
        <f>(+E258)</f>
        <v>0</v>
      </c>
      <c r="F257" s="199">
        <f t="shared" ref="F257:L257" si="144">+F258</f>
        <v>0</v>
      </c>
      <c r="G257" s="199">
        <f t="shared" si="144"/>
        <v>0</v>
      </c>
      <c r="H257" s="199">
        <f t="shared" si="144"/>
        <v>0</v>
      </c>
      <c r="I257" s="199">
        <f t="shared" si="144"/>
        <v>455124.55</v>
      </c>
      <c r="J257" s="199">
        <f t="shared" si="144"/>
        <v>0</v>
      </c>
      <c r="K257" s="199">
        <f t="shared" si="144"/>
        <v>455124.55</v>
      </c>
      <c r="L257" s="199">
        <f t="shared" si="144"/>
        <v>33597500.450000003</v>
      </c>
    </row>
    <row r="258" spans="1:12" x14ac:dyDescent="0.25">
      <c r="A258" s="201" t="s">
        <v>127</v>
      </c>
      <c r="B258" s="204">
        <v>34052625</v>
      </c>
      <c r="C258" s="204">
        <v>0</v>
      </c>
      <c r="D258" s="202">
        <f>+C258+B258</f>
        <v>34052625</v>
      </c>
      <c r="E258" s="202"/>
      <c r="F258" s="202"/>
      <c r="G258" s="202"/>
      <c r="H258" s="202">
        <f t="shared" ref="H258" si="145">+E258+F258+G258</f>
        <v>0</v>
      </c>
      <c r="I258" s="202">
        <v>455124.55</v>
      </c>
      <c r="J258" s="202">
        <v>0</v>
      </c>
      <c r="K258" s="202">
        <f>+I258+H258</f>
        <v>455124.55</v>
      </c>
      <c r="L258" s="204">
        <f t="shared" ref="L258" si="146">+D258-J258-K258</f>
        <v>33597500.450000003</v>
      </c>
    </row>
    <row r="259" spans="1:12" x14ac:dyDescent="0.25">
      <c r="A259" s="205"/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</row>
    <row r="260" spans="1:12" ht="36" x14ac:dyDescent="0.25">
      <c r="A260" s="197" t="s">
        <v>128</v>
      </c>
      <c r="B260" s="199">
        <f>SUM(B261:B267)</f>
        <v>19298123.399999999</v>
      </c>
      <c r="C260" s="199">
        <f>SUM(C261:C267)</f>
        <v>0</v>
      </c>
      <c r="D260" s="199">
        <f>SUM(D261:D267)</f>
        <v>19298123.399999999</v>
      </c>
      <c r="E260" s="199">
        <f>(SUM(E261:E267))</f>
        <v>0</v>
      </c>
      <c r="F260" s="199">
        <f t="shared" ref="F260:L260" si="147">SUM(F261:F267)</f>
        <v>0</v>
      </c>
      <c r="G260" s="199">
        <f t="shared" si="147"/>
        <v>0</v>
      </c>
      <c r="H260" s="199">
        <f t="shared" si="147"/>
        <v>0</v>
      </c>
      <c r="I260" s="199">
        <f t="shared" si="147"/>
        <v>223162.8</v>
      </c>
      <c r="J260" s="199">
        <f t="shared" si="147"/>
        <v>0</v>
      </c>
      <c r="K260" s="199">
        <f t="shared" si="147"/>
        <v>223162.8</v>
      </c>
      <c r="L260" s="199">
        <f t="shared" si="147"/>
        <v>19074960.600000001</v>
      </c>
    </row>
    <row r="261" spans="1:12" ht="24" x14ac:dyDescent="0.25">
      <c r="A261" s="201" t="s">
        <v>129</v>
      </c>
      <c r="B261" s="202">
        <v>500000</v>
      </c>
      <c r="C261" s="202">
        <v>0</v>
      </c>
      <c r="D261" s="202">
        <f t="shared" ref="D261:D267" si="148">+C261+B261</f>
        <v>500000</v>
      </c>
      <c r="E261" s="202"/>
      <c r="F261" s="202"/>
      <c r="G261" s="202"/>
      <c r="H261" s="202">
        <f t="shared" ref="H261:H267" si="149">+E261+F261+G261</f>
        <v>0</v>
      </c>
      <c r="I261" s="202">
        <v>0</v>
      </c>
      <c r="J261" s="202"/>
      <c r="K261" s="202">
        <f t="shared" ref="K261:K267" si="150">+I261+H261</f>
        <v>0</v>
      </c>
      <c r="L261" s="204">
        <f t="shared" ref="L261:L267" si="151">+D261-J261-K261</f>
        <v>500000</v>
      </c>
    </row>
    <row r="262" spans="1:12" ht="24" x14ac:dyDescent="0.25">
      <c r="A262" s="201" t="s">
        <v>130</v>
      </c>
      <c r="B262" s="202">
        <v>420000</v>
      </c>
      <c r="C262" s="202">
        <v>0</v>
      </c>
      <c r="D262" s="202">
        <f t="shared" si="148"/>
        <v>420000</v>
      </c>
      <c r="E262" s="202"/>
      <c r="F262" s="202"/>
      <c r="G262" s="202"/>
      <c r="H262" s="202">
        <f t="shared" si="149"/>
        <v>0</v>
      </c>
      <c r="I262" s="202">
        <v>36031.040000000001</v>
      </c>
      <c r="J262" s="202"/>
      <c r="K262" s="202">
        <f t="shared" si="150"/>
        <v>36031.040000000001</v>
      </c>
      <c r="L262" s="204">
        <f t="shared" si="151"/>
        <v>383968.96</v>
      </c>
    </row>
    <row r="263" spans="1:12" x14ac:dyDescent="0.25">
      <c r="A263" s="201" t="s">
        <v>131</v>
      </c>
      <c r="B263" s="202">
        <v>441000</v>
      </c>
      <c r="C263" s="202">
        <v>0</v>
      </c>
      <c r="D263" s="202">
        <f t="shared" si="148"/>
        <v>441000</v>
      </c>
      <c r="E263" s="202"/>
      <c r="F263" s="202"/>
      <c r="G263" s="202"/>
      <c r="H263" s="202">
        <f t="shared" si="149"/>
        <v>0</v>
      </c>
      <c r="I263" s="202">
        <v>2030.6</v>
      </c>
      <c r="J263" s="202"/>
      <c r="K263" s="202">
        <f t="shared" si="150"/>
        <v>2030.6</v>
      </c>
      <c r="L263" s="204">
        <f t="shared" si="151"/>
        <v>438969.4</v>
      </c>
    </row>
    <row r="264" spans="1:12" ht="24" x14ac:dyDescent="0.25">
      <c r="A264" s="201" t="s">
        <v>692</v>
      </c>
      <c r="B264" s="202">
        <v>5700000</v>
      </c>
      <c r="C264" s="202">
        <v>0</v>
      </c>
      <c r="D264" s="202">
        <f t="shared" si="148"/>
        <v>5700000</v>
      </c>
      <c r="E264" s="202"/>
      <c r="F264" s="202"/>
      <c r="G264" s="202"/>
      <c r="H264" s="202">
        <f t="shared" si="149"/>
        <v>0</v>
      </c>
      <c r="I264" s="202">
        <v>2145.6999999999998</v>
      </c>
      <c r="J264" s="202"/>
      <c r="K264" s="202">
        <f t="shared" si="150"/>
        <v>2145.6999999999998</v>
      </c>
      <c r="L264" s="204">
        <f t="shared" si="151"/>
        <v>5697854.2999999998</v>
      </c>
    </row>
    <row r="265" spans="1:12" ht="24" x14ac:dyDescent="0.25">
      <c r="A265" s="201" t="s">
        <v>133</v>
      </c>
      <c r="B265" s="202">
        <v>441000</v>
      </c>
      <c r="C265" s="202">
        <v>0</v>
      </c>
      <c r="D265" s="202">
        <f t="shared" si="148"/>
        <v>441000</v>
      </c>
      <c r="E265" s="202"/>
      <c r="F265" s="202"/>
      <c r="G265" s="202"/>
      <c r="H265" s="202">
        <f t="shared" si="149"/>
        <v>0</v>
      </c>
      <c r="I265" s="202">
        <v>7000.3</v>
      </c>
      <c r="J265" s="202"/>
      <c r="K265" s="202">
        <f t="shared" si="150"/>
        <v>7000.3</v>
      </c>
      <c r="L265" s="204">
        <f t="shared" si="151"/>
        <v>433999.7</v>
      </c>
    </row>
    <row r="266" spans="1:12" ht="24" x14ac:dyDescent="0.25">
      <c r="A266" s="201" t="s">
        <v>134</v>
      </c>
      <c r="B266" s="202">
        <v>4976823.4000000004</v>
      </c>
      <c r="C266" s="202">
        <v>0</v>
      </c>
      <c r="D266" s="202">
        <f t="shared" si="148"/>
        <v>4976823.4000000004</v>
      </c>
      <c r="E266" s="202"/>
      <c r="F266" s="202"/>
      <c r="G266" s="202"/>
      <c r="H266" s="202">
        <f t="shared" si="149"/>
        <v>0</v>
      </c>
      <c r="I266" s="202">
        <v>129089.15</v>
      </c>
      <c r="J266" s="202"/>
      <c r="K266" s="202">
        <f t="shared" si="150"/>
        <v>129089.15</v>
      </c>
      <c r="L266" s="204">
        <f t="shared" si="151"/>
        <v>4847734.25</v>
      </c>
    </row>
    <row r="267" spans="1:12" ht="36" x14ac:dyDescent="0.25">
      <c r="A267" s="201" t="s">
        <v>135</v>
      </c>
      <c r="B267" s="202">
        <v>6819300</v>
      </c>
      <c r="C267" s="202">
        <v>0</v>
      </c>
      <c r="D267" s="202">
        <f t="shared" si="148"/>
        <v>6819300</v>
      </c>
      <c r="E267" s="202"/>
      <c r="F267" s="202"/>
      <c r="G267" s="202"/>
      <c r="H267" s="202">
        <f t="shared" si="149"/>
        <v>0</v>
      </c>
      <c r="I267" s="202">
        <v>46866.01</v>
      </c>
      <c r="J267" s="202">
        <v>0</v>
      </c>
      <c r="K267" s="202">
        <f t="shared" si="150"/>
        <v>46866.01</v>
      </c>
      <c r="L267" s="204">
        <f t="shared" si="151"/>
        <v>6772433.9900000002</v>
      </c>
    </row>
    <row r="268" spans="1:12" x14ac:dyDescent="0.25">
      <c r="A268" s="205"/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</row>
    <row r="269" spans="1:12" ht="24" x14ac:dyDescent="0.25">
      <c r="A269" s="197" t="s">
        <v>136</v>
      </c>
      <c r="B269" s="199">
        <f>SUM(B270:B271)</f>
        <v>34925566.100000001</v>
      </c>
      <c r="C269" s="199">
        <f>SUM(C270:C271)</f>
        <v>0</v>
      </c>
      <c r="D269" s="199">
        <f t="shared" ref="D269:L269" si="152">SUM(D270:D271)</f>
        <v>34925566.100000001</v>
      </c>
      <c r="E269" s="199">
        <f>(SUM(E270:E271))</f>
        <v>0</v>
      </c>
      <c r="F269" s="199">
        <f t="shared" si="152"/>
        <v>0</v>
      </c>
      <c r="G269" s="199">
        <f t="shared" si="152"/>
        <v>0</v>
      </c>
      <c r="H269" s="199">
        <f t="shared" si="152"/>
        <v>0</v>
      </c>
      <c r="I269" s="199">
        <f t="shared" si="152"/>
        <v>89894.26999999999</v>
      </c>
      <c r="J269" s="199">
        <f t="shared" si="152"/>
        <v>0</v>
      </c>
      <c r="K269" s="199">
        <f t="shared" si="152"/>
        <v>89894.26999999999</v>
      </c>
      <c r="L269" s="199">
        <f t="shared" si="152"/>
        <v>34835671.829999998</v>
      </c>
    </row>
    <row r="270" spans="1:12" ht="24" x14ac:dyDescent="0.25">
      <c r="A270" s="201" t="s">
        <v>137</v>
      </c>
      <c r="B270" s="204">
        <v>2806000</v>
      </c>
      <c r="C270" s="204">
        <v>0</v>
      </c>
      <c r="D270" s="202">
        <f>+C270+B270</f>
        <v>2806000</v>
      </c>
      <c r="E270" s="202"/>
      <c r="F270" s="202"/>
      <c r="G270" s="202"/>
      <c r="H270" s="202">
        <f t="shared" ref="H270:H271" si="153">+E270+F270+G270</f>
        <v>0</v>
      </c>
      <c r="I270" s="202">
        <v>51204.27</v>
      </c>
      <c r="J270" s="202"/>
      <c r="K270" s="202">
        <f>+I270+H270</f>
        <v>51204.27</v>
      </c>
      <c r="L270" s="204">
        <f t="shared" ref="L270:L271" si="154">+D270-J270-K270</f>
        <v>2754795.73</v>
      </c>
    </row>
    <row r="271" spans="1:12" x14ac:dyDescent="0.25">
      <c r="A271" s="201" t="s">
        <v>138</v>
      </c>
      <c r="B271" s="204">
        <v>32119566.100000001</v>
      </c>
      <c r="C271" s="204">
        <v>0</v>
      </c>
      <c r="D271" s="202">
        <f>+C271+B271</f>
        <v>32119566.100000001</v>
      </c>
      <c r="E271" s="202"/>
      <c r="F271" s="202"/>
      <c r="G271" s="202"/>
      <c r="H271" s="202">
        <f t="shared" si="153"/>
        <v>0</v>
      </c>
      <c r="I271" s="202">
        <v>38690</v>
      </c>
      <c r="J271" s="202">
        <v>0</v>
      </c>
      <c r="K271" s="202">
        <f>+I271+H271</f>
        <v>38690</v>
      </c>
      <c r="L271" s="204">
        <f t="shared" si="154"/>
        <v>32080876.100000001</v>
      </c>
    </row>
    <row r="272" spans="1:12" x14ac:dyDescent="0.25">
      <c r="A272" s="205"/>
      <c r="B272" s="193"/>
      <c r="C272" s="193"/>
      <c r="D272" s="193"/>
      <c r="E272" s="193"/>
      <c r="F272" s="193"/>
      <c r="G272" s="193"/>
      <c r="H272" s="193"/>
      <c r="I272" s="193"/>
      <c r="J272" s="193"/>
      <c r="K272" s="193"/>
      <c r="L272" s="193"/>
    </row>
    <row r="273" spans="1:12" ht="24" x14ac:dyDescent="0.25">
      <c r="A273" s="197" t="s">
        <v>139</v>
      </c>
      <c r="B273" s="199">
        <f>SUM(B274:B280)</f>
        <v>34105000</v>
      </c>
      <c r="C273" s="199">
        <f>SUM(C274:C280)</f>
        <v>0</v>
      </c>
      <c r="D273" s="199">
        <f>SUM(D274:D280)</f>
        <v>34105000</v>
      </c>
      <c r="E273" s="199">
        <f>(SUM(E274:E280))</f>
        <v>0</v>
      </c>
      <c r="F273" s="199">
        <f t="shared" ref="F273:L273" si="155">SUM(F274:F280)</f>
        <v>0</v>
      </c>
      <c r="G273" s="199">
        <f t="shared" si="155"/>
        <v>0</v>
      </c>
      <c r="H273" s="199">
        <f t="shared" si="155"/>
        <v>0</v>
      </c>
      <c r="I273" s="199">
        <f t="shared" si="155"/>
        <v>2088945.53</v>
      </c>
      <c r="J273" s="199">
        <f t="shared" si="155"/>
        <v>0</v>
      </c>
      <c r="K273" s="199">
        <f t="shared" si="155"/>
        <v>2088945.53</v>
      </c>
      <c r="L273" s="199">
        <f t="shared" si="155"/>
        <v>32016054.469999999</v>
      </c>
    </row>
    <row r="274" spans="1:12" ht="24" x14ac:dyDescent="0.25">
      <c r="A274" s="201" t="s">
        <v>140</v>
      </c>
      <c r="B274" s="204">
        <v>0</v>
      </c>
      <c r="C274" s="204">
        <v>0</v>
      </c>
      <c r="D274" s="202">
        <f t="shared" ref="D274:D280" si="156">+C274+B274</f>
        <v>0</v>
      </c>
      <c r="E274" s="202"/>
      <c r="F274" s="202"/>
      <c r="G274" s="202"/>
      <c r="H274" s="202">
        <f t="shared" ref="H274:H280" si="157">+E274+F274+G274</f>
        <v>0</v>
      </c>
      <c r="I274" s="202"/>
      <c r="J274" s="202"/>
      <c r="K274" s="202">
        <f t="shared" ref="K274:K280" si="158">+I274+H274</f>
        <v>0</v>
      </c>
      <c r="L274" s="204">
        <f t="shared" ref="L274:L280" si="159">+D274-J274-K274</f>
        <v>0</v>
      </c>
    </row>
    <row r="275" spans="1:12" ht="24" x14ac:dyDescent="0.25">
      <c r="A275" s="201" t="s">
        <v>141</v>
      </c>
      <c r="B275" s="204">
        <v>1000000</v>
      </c>
      <c r="C275" s="204">
        <v>0</v>
      </c>
      <c r="D275" s="202">
        <f t="shared" si="156"/>
        <v>1000000</v>
      </c>
      <c r="E275" s="202"/>
      <c r="F275" s="202"/>
      <c r="G275" s="202"/>
      <c r="H275" s="202">
        <f t="shared" si="157"/>
        <v>0</v>
      </c>
      <c r="I275" s="202"/>
      <c r="J275" s="202"/>
      <c r="K275" s="202">
        <f t="shared" si="158"/>
        <v>0</v>
      </c>
      <c r="L275" s="204">
        <f t="shared" si="159"/>
        <v>1000000</v>
      </c>
    </row>
    <row r="276" spans="1:12" x14ac:dyDescent="0.25">
      <c r="A276" s="201" t="s">
        <v>142</v>
      </c>
      <c r="B276" s="204">
        <v>4080000</v>
      </c>
      <c r="C276" s="204">
        <v>0</v>
      </c>
      <c r="D276" s="202">
        <f t="shared" si="156"/>
        <v>4080000</v>
      </c>
      <c r="E276" s="202"/>
      <c r="F276" s="202"/>
      <c r="G276" s="202"/>
      <c r="H276" s="202">
        <f t="shared" si="157"/>
        <v>0</v>
      </c>
      <c r="I276" s="202">
        <v>2038945.58</v>
      </c>
      <c r="J276" s="202"/>
      <c r="K276" s="202">
        <f t="shared" si="158"/>
        <v>2038945.58</v>
      </c>
      <c r="L276" s="204">
        <f t="shared" si="159"/>
        <v>2041054.42</v>
      </c>
    </row>
    <row r="277" spans="1:12" ht="24" x14ac:dyDescent="0.25">
      <c r="A277" s="201" t="s">
        <v>143</v>
      </c>
      <c r="B277" s="202">
        <v>315000</v>
      </c>
      <c r="C277" s="204">
        <v>0</v>
      </c>
      <c r="D277" s="202">
        <f t="shared" si="156"/>
        <v>315000</v>
      </c>
      <c r="E277" s="202"/>
      <c r="F277" s="202"/>
      <c r="G277" s="202"/>
      <c r="H277" s="202">
        <f t="shared" si="157"/>
        <v>0</v>
      </c>
      <c r="I277" s="202">
        <v>0</v>
      </c>
      <c r="J277" s="202"/>
      <c r="K277" s="202">
        <f t="shared" si="158"/>
        <v>0</v>
      </c>
      <c r="L277" s="204">
        <f t="shared" si="159"/>
        <v>315000</v>
      </c>
    </row>
    <row r="278" spans="1:12" ht="24" x14ac:dyDescent="0.25">
      <c r="A278" s="201" t="s">
        <v>640</v>
      </c>
      <c r="B278" s="202">
        <v>650000</v>
      </c>
      <c r="C278" s="204">
        <v>0</v>
      </c>
      <c r="D278" s="202">
        <f t="shared" si="156"/>
        <v>650000</v>
      </c>
      <c r="E278" s="202"/>
      <c r="F278" s="202"/>
      <c r="G278" s="202"/>
      <c r="H278" s="202">
        <f t="shared" si="157"/>
        <v>0</v>
      </c>
      <c r="I278" s="202"/>
      <c r="J278" s="202">
        <v>0</v>
      </c>
      <c r="K278" s="202">
        <f t="shared" si="158"/>
        <v>0</v>
      </c>
      <c r="L278" s="204">
        <f t="shared" si="159"/>
        <v>650000</v>
      </c>
    </row>
    <row r="279" spans="1:12" ht="24" x14ac:dyDescent="0.25">
      <c r="A279" s="201" t="s">
        <v>145</v>
      </c>
      <c r="B279" s="202">
        <v>88200</v>
      </c>
      <c r="C279" s="204">
        <v>0</v>
      </c>
      <c r="D279" s="202">
        <f t="shared" si="156"/>
        <v>88200</v>
      </c>
      <c r="E279" s="202"/>
      <c r="F279" s="202"/>
      <c r="G279" s="202"/>
      <c r="H279" s="202">
        <f t="shared" si="157"/>
        <v>0</v>
      </c>
      <c r="I279" s="202">
        <v>0</v>
      </c>
      <c r="J279" s="202"/>
      <c r="K279" s="202">
        <f t="shared" si="158"/>
        <v>0</v>
      </c>
      <c r="L279" s="204">
        <f t="shared" si="159"/>
        <v>88200</v>
      </c>
    </row>
    <row r="280" spans="1:12" ht="24" x14ac:dyDescent="0.25">
      <c r="A280" s="201" t="s">
        <v>146</v>
      </c>
      <c r="B280" s="202">
        <v>27971800</v>
      </c>
      <c r="C280" s="204">
        <v>0</v>
      </c>
      <c r="D280" s="202">
        <f t="shared" si="156"/>
        <v>27971800</v>
      </c>
      <c r="E280" s="202"/>
      <c r="F280" s="202"/>
      <c r="G280" s="202"/>
      <c r="H280" s="202">
        <f t="shared" si="157"/>
        <v>0</v>
      </c>
      <c r="I280" s="202">
        <v>49999.95</v>
      </c>
      <c r="J280" s="202">
        <v>0</v>
      </c>
      <c r="K280" s="202">
        <f t="shared" si="158"/>
        <v>49999.95</v>
      </c>
      <c r="L280" s="204">
        <f t="shared" si="159"/>
        <v>27921800.050000001</v>
      </c>
    </row>
    <row r="281" spans="1:12" x14ac:dyDescent="0.25">
      <c r="A281" s="205"/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</row>
    <row r="282" spans="1:12" x14ac:dyDescent="0.25">
      <c r="A282" s="197" t="s">
        <v>147</v>
      </c>
      <c r="B282" s="206">
        <f>+B283+B292+B297</f>
        <v>548380806</v>
      </c>
      <c r="C282" s="206">
        <f>+C283+C292+C297</f>
        <v>0</v>
      </c>
      <c r="D282" s="206">
        <f>+D283+D292+D297</f>
        <v>548380806</v>
      </c>
      <c r="E282" s="206">
        <f>(+E283+E292+E297)</f>
        <v>0</v>
      </c>
      <c r="F282" s="206">
        <f t="shared" ref="F282:L282" si="160">+F283+F292+F297</f>
        <v>0</v>
      </c>
      <c r="G282" s="206">
        <f t="shared" si="160"/>
        <v>0</v>
      </c>
      <c r="H282" s="206">
        <f t="shared" si="160"/>
        <v>0</v>
      </c>
      <c r="I282" s="206">
        <f t="shared" si="160"/>
        <v>0</v>
      </c>
      <c r="J282" s="206">
        <f t="shared" si="160"/>
        <v>0</v>
      </c>
      <c r="K282" s="206">
        <f t="shared" si="160"/>
        <v>0</v>
      </c>
      <c r="L282" s="206">
        <f t="shared" si="160"/>
        <v>548380806</v>
      </c>
    </row>
    <row r="283" spans="1:12" ht="24" x14ac:dyDescent="0.25">
      <c r="A283" s="197" t="s">
        <v>148</v>
      </c>
      <c r="B283" s="199">
        <f>SUM(B284:B290)</f>
        <v>209480806</v>
      </c>
      <c r="C283" s="199">
        <f>SUM(C284:C290)</f>
        <v>0</v>
      </c>
      <c r="D283" s="199">
        <f t="shared" ref="D283:L283" si="161">SUM(D284:D290)</f>
        <v>209480806</v>
      </c>
      <c r="E283" s="199">
        <f>(SUM(E284:E290))</f>
        <v>0</v>
      </c>
      <c r="F283" s="199">
        <f t="shared" si="161"/>
        <v>0</v>
      </c>
      <c r="G283" s="199">
        <f t="shared" si="161"/>
        <v>0</v>
      </c>
      <c r="H283" s="199">
        <f t="shared" si="161"/>
        <v>0</v>
      </c>
      <c r="I283" s="199">
        <f t="shared" si="161"/>
        <v>0</v>
      </c>
      <c r="J283" s="199">
        <f t="shared" si="161"/>
        <v>0</v>
      </c>
      <c r="K283" s="199">
        <f t="shared" si="161"/>
        <v>0</v>
      </c>
      <c r="L283" s="199">
        <f t="shared" si="161"/>
        <v>209480806</v>
      </c>
    </row>
    <row r="284" spans="1:12" ht="24" x14ac:dyDescent="0.25">
      <c r="A284" s="201" t="s">
        <v>149</v>
      </c>
      <c r="B284" s="202">
        <v>1030000</v>
      </c>
      <c r="C284" s="202"/>
      <c r="D284" s="202">
        <f t="shared" ref="D284:D290" si="162">+C284+B284</f>
        <v>1030000</v>
      </c>
      <c r="E284" s="202"/>
      <c r="F284" s="202"/>
      <c r="G284" s="202"/>
      <c r="H284" s="202">
        <f t="shared" ref="H284:H290" si="163">+E284+F284+G284</f>
        <v>0</v>
      </c>
      <c r="I284" s="202"/>
      <c r="J284" s="202"/>
      <c r="K284" s="202">
        <f t="shared" ref="K284:K290" si="164">+I284+H284</f>
        <v>0</v>
      </c>
      <c r="L284" s="204">
        <f t="shared" ref="L284:L290" si="165">+D284-J284-K284</f>
        <v>1030000</v>
      </c>
    </row>
    <row r="285" spans="1:12" x14ac:dyDescent="0.25">
      <c r="A285" s="201" t="s">
        <v>150</v>
      </c>
      <c r="B285" s="202">
        <v>46918806</v>
      </c>
      <c r="C285" s="202"/>
      <c r="D285" s="202">
        <f t="shared" si="162"/>
        <v>46918806</v>
      </c>
      <c r="E285" s="202"/>
      <c r="F285" s="202"/>
      <c r="G285" s="202"/>
      <c r="H285" s="202">
        <f t="shared" si="163"/>
        <v>0</v>
      </c>
      <c r="I285" s="202"/>
      <c r="J285" s="202"/>
      <c r="K285" s="202">
        <f t="shared" si="164"/>
        <v>0</v>
      </c>
      <c r="L285" s="204">
        <f t="shared" si="165"/>
        <v>46918806</v>
      </c>
    </row>
    <row r="286" spans="1:12" x14ac:dyDescent="0.25">
      <c r="A286" s="201" t="s">
        <v>151</v>
      </c>
      <c r="B286" s="202">
        <v>16250000</v>
      </c>
      <c r="C286" s="202"/>
      <c r="D286" s="202">
        <f t="shared" si="162"/>
        <v>16250000</v>
      </c>
      <c r="E286" s="202"/>
      <c r="F286" s="202"/>
      <c r="G286" s="202"/>
      <c r="H286" s="202">
        <f t="shared" si="163"/>
        <v>0</v>
      </c>
      <c r="I286" s="202"/>
      <c r="J286" s="202"/>
      <c r="K286" s="202">
        <f t="shared" si="164"/>
        <v>0</v>
      </c>
      <c r="L286" s="204">
        <f t="shared" si="165"/>
        <v>16250000</v>
      </c>
    </row>
    <row r="287" spans="1:12" ht="24" x14ac:dyDescent="0.25">
      <c r="A287" s="201" t="s">
        <v>152</v>
      </c>
      <c r="B287" s="202">
        <v>18412000</v>
      </c>
      <c r="C287" s="202"/>
      <c r="D287" s="202">
        <f t="shared" si="162"/>
        <v>18412000</v>
      </c>
      <c r="E287" s="202"/>
      <c r="F287" s="202"/>
      <c r="G287" s="202"/>
      <c r="H287" s="202">
        <f t="shared" si="163"/>
        <v>0</v>
      </c>
      <c r="I287" s="202"/>
      <c r="J287" s="202"/>
      <c r="K287" s="202">
        <f t="shared" si="164"/>
        <v>0</v>
      </c>
      <c r="L287" s="204">
        <f t="shared" si="165"/>
        <v>18412000</v>
      </c>
    </row>
    <row r="288" spans="1:12" x14ac:dyDescent="0.25">
      <c r="A288" s="201" t="s">
        <v>153</v>
      </c>
      <c r="B288" s="204">
        <v>93870000</v>
      </c>
      <c r="C288" s="204">
        <v>0</v>
      </c>
      <c r="D288" s="202">
        <f t="shared" si="162"/>
        <v>93870000</v>
      </c>
      <c r="E288" s="202"/>
      <c r="F288" s="202"/>
      <c r="G288" s="202"/>
      <c r="H288" s="202">
        <f t="shared" si="163"/>
        <v>0</v>
      </c>
      <c r="I288" s="202"/>
      <c r="J288" s="202"/>
      <c r="K288" s="202">
        <f t="shared" si="164"/>
        <v>0</v>
      </c>
      <c r="L288" s="204">
        <f t="shared" si="165"/>
        <v>93870000</v>
      </c>
    </row>
    <row r="289" spans="1:12" ht="24" x14ac:dyDescent="0.25">
      <c r="A289" s="201" t="s">
        <v>658</v>
      </c>
      <c r="B289" s="204">
        <v>0</v>
      </c>
      <c r="C289" s="204">
        <v>0</v>
      </c>
      <c r="D289" s="202">
        <f t="shared" si="162"/>
        <v>0</v>
      </c>
      <c r="E289" s="202"/>
      <c r="F289" s="202"/>
      <c r="G289" s="202"/>
      <c r="H289" s="202">
        <f t="shared" si="163"/>
        <v>0</v>
      </c>
      <c r="I289" s="202"/>
      <c r="J289" s="202"/>
      <c r="K289" s="202">
        <f t="shared" ref="K289" si="166">+I289+H289</f>
        <v>0</v>
      </c>
      <c r="L289" s="204">
        <f t="shared" si="165"/>
        <v>0</v>
      </c>
    </row>
    <row r="290" spans="1:12" ht="24" x14ac:dyDescent="0.25">
      <c r="A290" s="201" t="s">
        <v>154</v>
      </c>
      <c r="B290" s="204">
        <v>33000000</v>
      </c>
      <c r="C290" s="204">
        <v>0</v>
      </c>
      <c r="D290" s="202">
        <f t="shared" si="162"/>
        <v>33000000</v>
      </c>
      <c r="E290" s="202"/>
      <c r="F290" s="202"/>
      <c r="G290" s="202"/>
      <c r="H290" s="202">
        <f t="shared" si="163"/>
        <v>0</v>
      </c>
      <c r="I290" s="202"/>
      <c r="J290" s="202"/>
      <c r="K290" s="202">
        <f t="shared" si="164"/>
        <v>0</v>
      </c>
      <c r="L290" s="204">
        <f t="shared" si="165"/>
        <v>33000000</v>
      </c>
    </row>
    <row r="291" spans="1:12" x14ac:dyDescent="0.25">
      <c r="A291" s="205"/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</row>
    <row r="292" spans="1:12" ht="24" x14ac:dyDescent="0.25">
      <c r="A292" s="197" t="s">
        <v>155</v>
      </c>
      <c r="B292" s="199">
        <f>SUM(B293:B295)</f>
        <v>133000000</v>
      </c>
      <c r="C292" s="199">
        <f>SUM(C293:C295)</f>
        <v>0</v>
      </c>
      <c r="D292" s="199">
        <f>SUM(D293:D295)</f>
        <v>133000000</v>
      </c>
      <c r="E292" s="199">
        <f t="shared" ref="E292:L292" si="167">SUM(E293:E295)</f>
        <v>0</v>
      </c>
      <c r="F292" s="199">
        <f t="shared" si="167"/>
        <v>0</v>
      </c>
      <c r="G292" s="199">
        <f t="shared" si="167"/>
        <v>0</v>
      </c>
      <c r="H292" s="199">
        <f t="shared" si="167"/>
        <v>0</v>
      </c>
      <c r="I292" s="199">
        <f t="shared" si="167"/>
        <v>0</v>
      </c>
      <c r="J292" s="199">
        <f t="shared" si="167"/>
        <v>0</v>
      </c>
      <c r="K292" s="199">
        <f t="shared" si="167"/>
        <v>0</v>
      </c>
      <c r="L292" s="199">
        <f t="shared" si="167"/>
        <v>133000000</v>
      </c>
    </row>
    <row r="293" spans="1:12" x14ac:dyDescent="0.25">
      <c r="A293" s="201" t="s">
        <v>156</v>
      </c>
      <c r="B293" s="204">
        <v>70000000</v>
      </c>
      <c r="C293" s="204">
        <v>0</v>
      </c>
      <c r="D293" s="202">
        <f>+C293+B293</f>
        <v>70000000</v>
      </c>
      <c r="E293" s="202"/>
      <c r="F293" s="202"/>
      <c r="G293" s="202"/>
      <c r="H293" s="202">
        <f t="shared" ref="H293:H294" si="168">+E293+F293+G293</f>
        <v>0</v>
      </c>
      <c r="I293" s="202"/>
      <c r="J293" s="202"/>
      <c r="K293" s="202">
        <f>+I293+H293</f>
        <v>0</v>
      </c>
      <c r="L293" s="204">
        <f t="shared" ref="L293:L295" si="169">+D293-J293-K293</f>
        <v>70000000</v>
      </c>
    </row>
    <row r="294" spans="1:12" x14ac:dyDescent="0.25">
      <c r="A294" s="201" t="s">
        <v>157</v>
      </c>
      <c r="B294" s="204">
        <v>0</v>
      </c>
      <c r="C294" s="204">
        <v>0</v>
      </c>
      <c r="D294" s="202">
        <f>+C294+B294</f>
        <v>0</v>
      </c>
      <c r="E294" s="202"/>
      <c r="F294" s="202"/>
      <c r="G294" s="202"/>
      <c r="H294" s="202">
        <f t="shared" si="168"/>
        <v>0</v>
      </c>
      <c r="I294" s="202"/>
      <c r="J294" s="202"/>
      <c r="K294" s="202">
        <f>+I294+H294</f>
        <v>0</v>
      </c>
      <c r="L294" s="204">
        <f t="shared" si="169"/>
        <v>0</v>
      </c>
    </row>
    <row r="295" spans="1:12" ht="24" x14ac:dyDescent="0.25">
      <c r="A295" s="201" t="s">
        <v>665</v>
      </c>
      <c r="B295" s="204">
        <v>63000000</v>
      </c>
      <c r="C295" s="204">
        <v>0</v>
      </c>
      <c r="D295" s="202">
        <f t="shared" ref="D295" si="170">+C295+B295</f>
        <v>63000000</v>
      </c>
      <c r="E295" s="202"/>
      <c r="F295" s="202"/>
      <c r="G295" s="202"/>
      <c r="H295" s="202"/>
      <c r="I295" s="202"/>
      <c r="J295" s="202"/>
      <c r="K295" s="202">
        <f>+I295+H295</f>
        <v>0</v>
      </c>
      <c r="L295" s="204">
        <f t="shared" si="169"/>
        <v>63000000</v>
      </c>
    </row>
    <row r="296" spans="1:12" x14ac:dyDescent="0.25">
      <c r="A296" s="205"/>
      <c r="B296" s="193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</row>
    <row r="297" spans="1:12" x14ac:dyDescent="0.25">
      <c r="A297" s="197" t="s">
        <v>158</v>
      </c>
      <c r="B297" s="199">
        <f>SUM(B298)</f>
        <v>205900000</v>
      </c>
      <c r="C297" s="199">
        <f>SUM(C298)</f>
        <v>0</v>
      </c>
      <c r="D297" s="199">
        <f>SUM(D298)</f>
        <v>205900000</v>
      </c>
      <c r="E297" s="199">
        <f>(SUM(E298))</f>
        <v>0</v>
      </c>
      <c r="F297" s="199">
        <f t="shared" ref="F297:L297" si="171">SUM(F298)</f>
        <v>0</v>
      </c>
      <c r="G297" s="199">
        <f t="shared" si="171"/>
        <v>0</v>
      </c>
      <c r="H297" s="199">
        <f t="shared" si="171"/>
        <v>0</v>
      </c>
      <c r="I297" s="199">
        <f t="shared" si="171"/>
        <v>0</v>
      </c>
      <c r="J297" s="199">
        <f t="shared" si="171"/>
        <v>0</v>
      </c>
      <c r="K297" s="199">
        <f t="shared" si="171"/>
        <v>0</v>
      </c>
      <c r="L297" s="199">
        <f t="shared" si="171"/>
        <v>205900000</v>
      </c>
    </row>
    <row r="298" spans="1:12" x14ac:dyDescent="0.25">
      <c r="A298" s="201" t="s">
        <v>159</v>
      </c>
      <c r="B298" s="204">
        <v>205900000</v>
      </c>
      <c r="C298" s="204">
        <v>0</v>
      </c>
      <c r="D298" s="202">
        <f>+C298+B298</f>
        <v>205900000</v>
      </c>
      <c r="E298" s="202"/>
      <c r="F298" s="202"/>
      <c r="G298" s="202"/>
      <c r="H298" s="202">
        <f t="shared" ref="H298" si="172">+E298+F298+G298</f>
        <v>0</v>
      </c>
      <c r="I298" s="202"/>
      <c r="J298" s="202"/>
      <c r="K298" s="202">
        <f>+I298+H298</f>
        <v>0</v>
      </c>
      <c r="L298" s="204">
        <f t="shared" ref="L298" si="173">+D298-J298-K298</f>
        <v>205900000</v>
      </c>
    </row>
    <row r="299" spans="1:12" x14ac:dyDescent="0.25">
      <c r="A299" s="205"/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</row>
    <row r="300" spans="1:12" x14ac:dyDescent="0.25">
      <c r="A300" s="207" t="s">
        <v>160</v>
      </c>
      <c r="B300" s="206">
        <f>+B305+B309+B312+B302</f>
        <v>61771095</v>
      </c>
      <c r="C300" s="206">
        <f>+C305+C309+C312+C302</f>
        <v>0</v>
      </c>
      <c r="D300" s="206">
        <f>+D305+D309+D312+D302</f>
        <v>61771095</v>
      </c>
      <c r="E300" s="206">
        <f>(+E305+E309+E312+E302)</f>
        <v>0</v>
      </c>
      <c r="F300" s="206">
        <f t="shared" ref="F300:L300" si="174">+F305+F309+F312+F302</f>
        <v>0</v>
      </c>
      <c r="G300" s="206">
        <f t="shared" si="174"/>
        <v>0</v>
      </c>
      <c r="H300" s="206">
        <f t="shared" si="174"/>
        <v>0</v>
      </c>
      <c r="I300" s="206">
        <f t="shared" si="174"/>
        <v>19353726.5</v>
      </c>
      <c r="J300" s="206">
        <f t="shared" si="174"/>
        <v>0</v>
      </c>
      <c r="K300" s="206">
        <f t="shared" si="174"/>
        <v>19353726.5</v>
      </c>
      <c r="L300" s="206">
        <f t="shared" si="174"/>
        <v>42417368.5</v>
      </c>
    </row>
    <row r="301" spans="1:12" x14ac:dyDescent="0.25">
      <c r="A301" s="207"/>
      <c r="B301" s="206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</row>
    <row r="302" spans="1:12" ht="24.75" x14ac:dyDescent="0.25">
      <c r="A302" s="207" t="s">
        <v>671</v>
      </c>
      <c r="B302" s="206">
        <f>+B303</f>
        <v>14420718</v>
      </c>
      <c r="C302" s="206">
        <f>+C303</f>
        <v>0</v>
      </c>
      <c r="D302" s="206">
        <f>+D303</f>
        <v>14420718</v>
      </c>
      <c r="E302" s="206">
        <f>(+E303)</f>
        <v>0</v>
      </c>
      <c r="F302" s="206">
        <f t="shared" ref="F302:L302" si="175">+F303</f>
        <v>0</v>
      </c>
      <c r="G302" s="206">
        <f t="shared" si="175"/>
        <v>0</v>
      </c>
      <c r="H302" s="206">
        <f t="shared" si="175"/>
        <v>0</v>
      </c>
      <c r="I302" s="206">
        <f t="shared" si="175"/>
        <v>0</v>
      </c>
      <c r="J302" s="206">
        <f t="shared" si="175"/>
        <v>0</v>
      </c>
      <c r="K302" s="206">
        <f t="shared" si="175"/>
        <v>0</v>
      </c>
      <c r="L302" s="206">
        <f t="shared" si="175"/>
        <v>14420718</v>
      </c>
    </row>
    <row r="303" spans="1:12" ht="48" x14ac:dyDescent="0.25">
      <c r="A303" s="201" t="s">
        <v>668</v>
      </c>
      <c r="B303" s="204">
        <v>14420718</v>
      </c>
      <c r="C303" s="204">
        <v>0</v>
      </c>
      <c r="D303" s="202">
        <f>+C303+B303</f>
        <v>14420718</v>
      </c>
      <c r="E303" s="202">
        <v>0</v>
      </c>
      <c r="F303" s="206"/>
      <c r="G303" s="202">
        <v>0</v>
      </c>
      <c r="H303" s="202">
        <f t="shared" ref="H303" si="176">+E303+F303+G303</f>
        <v>0</v>
      </c>
      <c r="I303" s="202"/>
      <c r="J303" s="202"/>
      <c r="K303" s="202">
        <f>+I303+H303</f>
        <v>0</v>
      </c>
      <c r="L303" s="204">
        <f t="shared" ref="L303" si="177">+D303-J303-K303</f>
        <v>14420718</v>
      </c>
    </row>
    <row r="304" spans="1:12" x14ac:dyDescent="0.25">
      <c r="A304" s="207"/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</row>
    <row r="305" spans="1:12" x14ac:dyDescent="0.25">
      <c r="A305" s="197" t="s">
        <v>161</v>
      </c>
      <c r="B305" s="199">
        <f>SUM(B306:B307)</f>
        <v>27146786</v>
      </c>
      <c r="C305" s="199">
        <f t="shared" ref="C305:L305" si="178">SUM(C306:C307)</f>
        <v>0</v>
      </c>
      <c r="D305" s="199">
        <f>SUM(D306:D307)</f>
        <v>27146786</v>
      </c>
      <c r="E305" s="199">
        <f>SUM(E306:E307)</f>
        <v>0</v>
      </c>
      <c r="F305" s="199">
        <f t="shared" si="178"/>
        <v>0</v>
      </c>
      <c r="G305" s="199">
        <f t="shared" si="178"/>
        <v>0</v>
      </c>
      <c r="H305" s="199">
        <f t="shared" si="178"/>
        <v>0</v>
      </c>
      <c r="I305" s="199">
        <f t="shared" si="178"/>
        <v>348426.5</v>
      </c>
      <c r="J305" s="199">
        <f t="shared" si="178"/>
        <v>0</v>
      </c>
      <c r="K305" s="199">
        <f t="shared" si="178"/>
        <v>348426.5</v>
      </c>
      <c r="L305" s="199">
        <f t="shared" si="178"/>
        <v>26798359.5</v>
      </c>
    </row>
    <row r="306" spans="1:12" x14ac:dyDescent="0.25">
      <c r="A306" s="201" t="s">
        <v>162</v>
      </c>
      <c r="B306" s="204">
        <v>18168315</v>
      </c>
      <c r="C306" s="204">
        <v>0</v>
      </c>
      <c r="D306" s="202">
        <f>+C306+B306</f>
        <v>18168315</v>
      </c>
      <c r="E306" s="202"/>
      <c r="F306" s="202"/>
      <c r="G306" s="202"/>
      <c r="H306" s="202">
        <f t="shared" ref="H306" si="179">+E306+F306+G306</f>
        <v>0</v>
      </c>
      <c r="I306" s="202"/>
      <c r="J306" s="202"/>
      <c r="K306" s="202">
        <f>+I306+H306</f>
        <v>0</v>
      </c>
      <c r="L306" s="204">
        <f t="shared" ref="L306:L307" si="180">+D306-J306-K306</f>
        <v>18168315</v>
      </c>
    </row>
    <row r="307" spans="1:12" x14ac:dyDescent="0.25">
      <c r="A307" s="201" t="s">
        <v>669</v>
      </c>
      <c r="B307" s="204">
        <v>8978471</v>
      </c>
      <c r="C307" s="204">
        <v>0</v>
      </c>
      <c r="D307" s="202">
        <f>+C307+B307</f>
        <v>8978471</v>
      </c>
      <c r="E307" s="202"/>
      <c r="F307" s="202"/>
      <c r="G307" s="202"/>
      <c r="H307" s="202">
        <f t="shared" ref="H307" si="181">+E307+F307+G307</f>
        <v>0</v>
      </c>
      <c r="I307" s="202">
        <v>348426.5</v>
      </c>
      <c r="J307" s="202"/>
      <c r="K307" s="202">
        <f>+I307+H307</f>
        <v>348426.5</v>
      </c>
      <c r="L307" s="204">
        <f t="shared" si="180"/>
        <v>8630044.5</v>
      </c>
    </row>
    <row r="308" spans="1:12" x14ac:dyDescent="0.25">
      <c r="A308" s="205"/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</row>
    <row r="309" spans="1:12" ht="24" x14ac:dyDescent="0.25">
      <c r="A309" s="197" t="s">
        <v>163</v>
      </c>
      <c r="B309" s="199">
        <f>SUM(B310)</f>
        <v>1198291</v>
      </c>
      <c r="C309" s="199">
        <f>SUM(C310)</f>
        <v>0</v>
      </c>
      <c r="D309" s="199">
        <f>SUM(D310)</f>
        <v>1198291</v>
      </c>
      <c r="E309" s="199">
        <f>(SUM(E310))</f>
        <v>0</v>
      </c>
      <c r="F309" s="199">
        <f t="shared" ref="F309:L309" si="182">SUM(F310)</f>
        <v>0</v>
      </c>
      <c r="G309" s="199">
        <f t="shared" si="182"/>
        <v>0</v>
      </c>
      <c r="H309" s="199">
        <f t="shared" si="182"/>
        <v>0</v>
      </c>
      <c r="I309" s="199">
        <f t="shared" si="182"/>
        <v>0</v>
      </c>
      <c r="J309" s="199">
        <f t="shared" si="182"/>
        <v>0</v>
      </c>
      <c r="K309" s="199">
        <f t="shared" si="182"/>
        <v>0</v>
      </c>
      <c r="L309" s="199">
        <f t="shared" si="182"/>
        <v>1198291</v>
      </c>
    </row>
    <row r="310" spans="1:12" x14ac:dyDescent="0.25">
      <c r="A310" s="201" t="s">
        <v>164</v>
      </c>
      <c r="B310" s="204">
        <v>1198291</v>
      </c>
      <c r="C310" s="204">
        <v>0</v>
      </c>
      <c r="D310" s="202">
        <f>+C310+B310</f>
        <v>1198291</v>
      </c>
      <c r="E310" s="202">
        <v>0</v>
      </c>
      <c r="F310" s="202"/>
      <c r="G310" s="202">
        <v>0</v>
      </c>
      <c r="H310" s="202">
        <f t="shared" ref="H310" si="183">+E310+F310+G310</f>
        <v>0</v>
      </c>
      <c r="I310" s="202">
        <v>0</v>
      </c>
      <c r="J310" s="202"/>
      <c r="K310" s="202">
        <f>+I310+H310</f>
        <v>0</v>
      </c>
      <c r="L310" s="204">
        <f>+D310-K310</f>
        <v>1198291</v>
      </c>
    </row>
    <row r="311" spans="1:12" x14ac:dyDescent="0.25">
      <c r="A311" s="205"/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</row>
    <row r="312" spans="1:12" ht="24" x14ac:dyDescent="0.25">
      <c r="A312" s="197" t="s">
        <v>179</v>
      </c>
      <c r="B312" s="199">
        <f>SUM(B313)</f>
        <v>19005300</v>
      </c>
      <c r="C312" s="199">
        <f>SUM(C313)</f>
        <v>0</v>
      </c>
      <c r="D312" s="199">
        <f>SUM(D313)</f>
        <v>19005300</v>
      </c>
      <c r="E312" s="199">
        <f>(SUM(E313))</f>
        <v>0</v>
      </c>
      <c r="F312" s="199">
        <f t="shared" ref="F312:L312" si="184">SUM(F313)</f>
        <v>0</v>
      </c>
      <c r="G312" s="199">
        <f t="shared" si="184"/>
        <v>0</v>
      </c>
      <c r="H312" s="199">
        <f t="shared" si="184"/>
        <v>0</v>
      </c>
      <c r="I312" s="199">
        <f t="shared" si="184"/>
        <v>19005300</v>
      </c>
      <c r="J312" s="199">
        <f t="shared" si="184"/>
        <v>0</v>
      </c>
      <c r="K312" s="199">
        <f t="shared" si="184"/>
        <v>19005300</v>
      </c>
      <c r="L312" s="199">
        <f t="shared" si="184"/>
        <v>0</v>
      </c>
    </row>
    <row r="313" spans="1:12" ht="36" x14ac:dyDescent="0.25">
      <c r="A313" s="201" t="s">
        <v>180</v>
      </c>
      <c r="B313" s="204">
        <v>19005300</v>
      </c>
      <c r="C313" s="204">
        <v>0</v>
      </c>
      <c r="D313" s="202">
        <f>+C313+B313</f>
        <v>19005300</v>
      </c>
      <c r="E313" s="202"/>
      <c r="F313" s="202"/>
      <c r="G313" s="202"/>
      <c r="H313" s="202">
        <f t="shared" ref="H313" si="185">+E313+F313+G313</f>
        <v>0</v>
      </c>
      <c r="I313" s="202">
        <v>19005300</v>
      </c>
      <c r="J313" s="202"/>
      <c r="K313" s="202">
        <f>+I313+H313</f>
        <v>19005300</v>
      </c>
      <c r="L313" s="204">
        <f t="shared" ref="L313" si="186">+D313-J313-K313</f>
        <v>0</v>
      </c>
    </row>
    <row r="314" spans="1:12" x14ac:dyDescent="0.25">
      <c r="A314" s="205"/>
      <c r="B314" s="193"/>
      <c r="C314" s="193"/>
      <c r="D314" s="193"/>
      <c r="E314" s="193"/>
      <c r="F314" s="193"/>
      <c r="G314" s="193"/>
      <c r="H314" s="193"/>
      <c r="I314" s="193"/>
      <c r="J314" s="193"/>
      <c r="K314" s="193"/>
      <c r="L314" s="193"/>
    </row>
    <row r="315" spans="1:12" x14ac:dyDescent="0.25">
      <c r="A315" s="207" t="s">
        <v>181</v>
      </c>
      <c r="B315" s="215">
        <f>+B316</f>
        <v>0</v>
      </c>
      <c r="C315" s="215">
        <f t="shared" ref="C315:L315" si="187">+C316</f>
        <v>0</v>
      </c>
      <c r="D315" s="215">
        <f t="shared" si="187"/>
        <v>0</v>
      </c>
      <c r="E315" s="215">
        <f>(+E316)</f>
        <v>0</v>
      </c>
      <c r="F315" s="215">
        <f t="shared" si="187"/>
        <v>0</v>
      </c>
      <c r="G315" s="215">
        <f t="shared" si="187"/>
        <v>0</v>
      </c>
      <c r="H315" s="215">
        <f t="shared" si="187"/>
        <v>0</v>
      </c>
      <c r="I315" s="215">
        <f t="shared" si="187"/>
        <v>0</v>
      </c>
      <c r="J315" s="215">
        <f t="shared" si="187"/>
        <v>0</v>
      </c>
      <c r="K315" s="215">
        <f t="shared" si="187"/>
        <v>0</v>
      </c>
      <c r="L315" s="215">
        <f t="shared" si="187"/>
        <v>0</v>
      </c>
    </row>
    <row r="316" spans="1:12" ht="24" x14ac:dyDescent="0.25">
      <c r="A316" s="197" t="s">
        <v>182</v>
      </c>
      <c r="B316" s="199">
        <f>+B317+B318</f>
        <v>0</v>
      </c>
      <c r="C316" s="199">
        <f>+C317+C318</f>
        <v>0</v>
      </c>
      <c r="D316" s="199">
        <f t="shared" ref="D316:L316" si="188">+D317+D318</f>
        <v>0</v>
      </c>
      <c r="E316" s="199">
        <f>(+E317+E318)</f>
        <v>0</v>
      </c>
      <c r="F316" s="199">
        <f t="shared" si="188"/>
        <v>0</v>
      </c>
      <c r="G316" s="199">
        <f t="shared" si="188"/>
        <v>0</v>
      </c>
      <c r="H316" s="199">
        <f t="shared" si="188"/>
        <v>0</v>
      </c>
      <c r="I316" s="199">
        <f t="shared" si="188"/>
        <v>0</v>
      </c>
      <c r="J316" s="199">
        <f t="shared" si="188"/>
        <v>0</v>
      </c>
      <c r="K316" s="199">
        <f t="shared" si="188"/>
        <v>0</v>
      </c>
      <c r="L316" s="199">
        <f t="shared" si="188"/>
        <v>0</v>
      </c>
    </row>
    <row r="317" spans="1:12" ht="24" x14ac:dyDescent="0.25">
      <c r="A317" s="201" t="s">
        <v>183</v>
      </c>
      <c r="B317" s="204">
        <v>0</v>
      </c>
      <c r="C317" s="204">
        <v>0</v>
      </c>
      <c r="D317" s="202">
        <f>+C317+B317</f>
        <v>0</v>
      </c>
      <c r="E317" s="202">
        <v>0</v>
      </c>
      <c r="F317" s="202"/>
      <c r="G317" s="202">
        <v>0</v>
      </c>
      <c r="H317" s="202">
        <f t="shared" ref="H317:H318" si="189">+E317+F317+G317</f>
        <v>0</v>
      </c>
      <c r="I317" s="202">
        <v>0</v>
      </c>
      <c r="J317" s="202"/>
      <c r="K317" s="202">
        <f>+I317+H317</f>
        <v>0</v>
      </c>
      <c r="L317" s="204">
        <f>+D317-K317</f>
        <v>0</v>
      </c>
    </row>
    <row r="318" spans="1:12" ht="48.75" x14ac:dyDescent="0.25">
      <c r="A318" s="205" t="s">
        <v>653</v>
      </c>
      <c r="B318" s="204">
        <v>0</v>
      </c>
      <c r="C318" s="204">
        <v>0</v>
      </c>
      <c r="D318" s="216">
        <f>+C318+B318</f>
        <v>0</v>
      </c>
      <c r="E318" s="202">
        <v>0</v>
      </c>
      <c r="F318" s="208"/>
      <c r="G318" s="202">
        <v>0</v>
      </c>
      <c r="H318" s="202">
        <f t="shared" si="189"/>
        <v>0</v>
      </c>
      <c r="I318" s="202">
        <v>0</v>
      </c>
      <c r="J318" s="202"/>
      <c r="K318" s="216">
        <f>+I318+H318</f>
        <v>0</v>
      </c>
      <c r="L318" s="204">
        <f>+D318-K318</f>
        <v>0</v>
      </c>
    </row>
    <row r="319" spans="1:12" x14ac:dyDescent="0.25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</row>
    <row r="320" spans="1:12" x14ac:dyDescent="0.25">
      <c r="A320" s="209" t="s">
        <v>184</v>
      </c>
      <c r="B320" s="199">
        <f>+B315+B300+B282+B251+B196+B169</f>
        <v>3135842438.27</v>
      </c>
      <c r="C320" s="199">
        <f>+C315+C300+C282+C251+C196+C169</f>
        <v>0</v>
      </c>
      <c r="D320" s="199">
        <f>+D315+D300+D282+D251+D196+D169</f>
        <v>3135842438.27</v>
      </c>
      <c r="E320" s="199">
        <f>(+E315+E300+E282+E251+E196+E169)</f>
        <v>0</v>
      </c>
      <c r="F320" s="199">
        <f t="shared" ref="F320:L320" si="190">+F315+F300+F282+F251+F196+F169</f>
        <v>0</v>
      </c>
      <c r="G320" s="199">
        <f t="shared" si="190"/>
        <v>0</v>
      </c>
      <c r="H320" s="199">
        <f t="shared" si="190"/>
        <v>0</v>
      </c>
      <c r="I320" s="199">
        <f t="shared" si="190"/>
        <v>414726726.88</v>
      </c>
      <c r="J320" s="199">
        <f t="shared" si="190"/>
        <v>0</v>
      </c>
      <c r="K320" s="199">
        <f t="shared" si="190"/>
        <v>414726726.88</v>
      </c>
      <c r="L320" s="199">
        <f t="shared" si="190"/>
        <v>2721115711.3900003</v>
      </c>
    </row>
    <row r="321" spans="1:12" x14ac:dyDescent="0.25">
      <c r="A321" s="193"/>
      <c r="B321" s="193"/>
      <c r="C321" s="193"/>
      <c r="D321" s="208"/>
      <c r="E321" s="193"/>
      <c r="F321" s="193"/>
      <c r="G321" s="193"/>
      <c r="H321" s="193"/>
      <c r="I321" s="210"/>
      <c r="J321" s="210"/>
      <c r="K321" s="193"/>
      <c r="L321" s="193"/>
    </row>
    <row r="322" spans="1:12" x14ac:dyDescent="0.25">
      <c r="A322" s="217" t="s">
        <v>38</v>
      </c>
      <c r="B322" s="199">
        <f>+B320+B158</f>
        <v>6475036000.2299995</v>
      </c>
      <c r="C322" s="199">
        <f>+C320+C158</f>
        <v>0</v>
      </c>
      <c r="D322" s="199">
        <f>+D320+D158</f>
        <v>6475036000.2299995</v>
      </c>
      <c r="E322" s="199">
        <f>(+E320+E158)</f>
        <v>0</v>
      </c>
      <c r="F322" s="199">
        <f t="shared" ref="F322:L322" si="191">+F320+F158</f>
        <v>0</v>
      </c>
      <c r="G322" s="199">
        <f t="shared" si="191"/>
        <v>0</v>
      </c>
      <c r="H322" s="199">
        <f t="shared" si="191"/>
        <v>0</v>
      </c>
      <c r="I322" s="199">
        <f t="shared" si="191"/>
        <v>1057869450.61</v>
      </c>
      <c r="J322" s="199">
        <f t="shared" si="191"/>
        <v>0</v>
      </c>
      <c r="K322" s="199">
        <f t="shared" si="191"/>
        <v>1057869450.61</v>
      </c>
      <c r="L322" s="199">
        <f t="shared" si="191"/>
        <v>5417166549.6200008</v>
      </c>
    </row>
    <row r="323" spans="1:12" x14ac:dyDescent="0.25">
      <c r="B323" s="67"/>
      <c r="C323" s="67"/>
      <c r="H323" s="2"/>
      <c r="I323" s="2"/>
      <c r="J323" s="2"/>
      <c r="K323" s="67"/>
    </row>
    <row r="324" spans="1:12" x14ac:dyDescent="0.25">
      <c r="B324" s="67"/>
      <c r="D324" s="2"/>
      <c r="I324" s="67"/>
    </row>
  </sheetData>
  <mergeCells count="10">
    <mergeCell ref="A163:L163"/>
    <mergeCell ref="A164:L164"/>
    <mergeCell ref="A165:L165"/>
    <mergeCell ref="A166:L166"/>
    <mergeCell ref="A1:L1"/>
    <mergeCell ref="A2:L2"/>
    <mergeCell ref="A3:L3"/>
    <mergeCell ref="A4:L4"/>
    <mergeCell ref="A5:L5"/>
    <mergeCell ref="A162:L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4:O21"/>
  <sheetViews>
    <sheetView workbookViewId="0">
      <selection activeCell="A8" sqref="A8"/>
    </sheetView>
  </sheetViews>
  <sheetFormatPr baseColWidth="10" defaultRowHeight="15" x14ac:dyDescent="0.25"/>
  <cols>
    <col min="1" max="1" width="31.28515625" customWidth="1"/>
    <col min="2" max="2" width="15.28515625" bestFit="1" customWidth="1"/>
    <col min="3" max="3" width="14.5703125" bestFit="1" customWidth="1"/>
    <col min="4" max="4" width="15.28515625" customWidth="1"/>
    <col min="5" max="6" width="15.28515625" hidden="1" customWidth="1"/>
    <col min="7" max="7" width="11.140625" hidden="1" customWidth="1"/>
    <col min="8" max="8" width="15.28515625" customWidth="1"/>
    <col min="9" max="11" width="15.28515625" bestFit="1" customWidth="1"/>
  </cols>
  <sheetData>
    <row r="4" spans="1:15" x14ac:dyDescent="0.25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5" x14ac:dyDescent="0.25">
      <c r="A5" s="238" t="s">
        <v>583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5" x14ac:dyDescent="0.25">
      <c r="A6" s="238" t="s">
        <v>584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5" ht="15.75" thickBot="1" x14ac:dyDescent="0.3">
      <c r="A7" s="239" t="s">
        <v>690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17"/>
      <c r="M7" s="17"/>
      <c r="N7" s="17"/>
      <c r="O7" s="17"/>
    </row>
    <row r="8" spans="1:15" ht="28.5" customHeight="1" x14ac:dyDescent="0.25">
      <c r="A8" s="18" t="s">
        <v>4</v>
      </c>
      <c r="B8" s="18" t="s">
        <v>185</v>
      </c>
      <c r="C8" s="18" t="s">
        <v>52</v>
      </c>
      <c r="D8" s="18" t="s">
        <v>186</v>
      </c>
      <c r="E8" s="18" t="s">
        <v>54</v>
      </c>
      <c r="F8" s="18" t="s">
        <v>55</v>
      </c>
      <c r="G8" s="18" t="s">
        <v>56</v>
      </c>
      <c r="H8" s="19" t="s">
        <v>582</v>
      </c>
      <c r="I8" s="18" t="s">
        <v>45</v>
      </c>
      <c r="J8" s="18" t="s">
        <v>1</v>
      </c>
      <c r="K8" s="18" t="s">
        <v>18</v>
      </c>
    </row>
    <row r="9" spans="1:15" x14ac:dyDescent="0.25">
      <c r="A9" s="20" t="s">
        <v>5</v>
      </c>
      <c r="B9" s="21">
        <f>'Gastos detallado'!B169+'Gastos detallado'!B8</f>
        <v>3765049412.48</v>
      </c>
      <c r="C9" s="21">
        <f>'Gastos detallado'!C169+'Gastos detallado'!C8</f>
        <v>0</v>
      </c>
      <c r="D9" s="21">
        <f>+B9+C9</f>
        <v>3765049412.48</v>
      </c>
      <c r="E9" s="21">
        <f>'Gastos detallado'!E8+'Gastos detallado'!E169</f>
        <v>0</v>
      </c>
      <c r="F9" s="21">
        <f>'Gastos detallado'!F8+'Gastos detallado'!F169</f>
        <v>0</v>
      </c>
      <c r="G9" s="21"/>
      <c r="H9" s="21">
        <f>SUM(E9:G9)</f>
        <v>0</v>
      </c>
      <c r="I9" s="21">
        <f>'Gastos detallado'!I8+'Gastos detallado'!I169</f>
        <v>861865252.45000005</v>
      </c>
      <c r="J9" s="122">
        <f>+H9+I9</f>
        <v>861865252.45000005</v>
      </c>
      <c r="K9" s="122">
        <f>+D9-J9</f>
        <v>2903184160.0299997</v>
      </c>
    </row>
    <row r="10" spans="1:15" x14ac:dyDescent="0.25">
      <c r="A10" s="20" t="s">
        <v>6</v>
      </c>
      <c r="B10" s="21">
        <f>'Gastos detallado'!B35+'Gastos detallado'!B196</f>
        <v>1595123059.75</v>
      </c>
      <c r="C10" s="21">
        <f>'Gastos detallado'!C35+'Gastos detallado'!C196</f>
        <v>0</v>
      </c>
      <c r="D10" s="21">
        <f t="shared" ref="D10:D15" si="0">+B10+C10</f>
        <v>1595123059.75</v>
      </c>
      <c r="E10" s="21">
        <f>'Gastos detallado'!E35+'Gastos detallado'!E196</f>
        <v>0</v>
      </c>
      <c r="F10" s="21">
        <f>'Gastos detallado'!F35+'Gastos detallado'!F196</f>
        <v>0</v>
      </c>
      <c r="G10" s="21"/>
      <c r="H10" s="21">
        <f t="shared" ref="H10:H15" si="1">SUM(E10:G10)</f>
        <v>0</v>
      </c>
      <c r="I10" s="21">
        <f>'Gastos detallado'!I35+'Gastos detallado'!I196</f>
        <v>164192902.33000001</v>
      </c>
      <c r="J10" s="122">
        <f t="shared" ref="J10:J14" si="2">+I10+H10</f>
        <v>164192902.33000001</v>
      </c>
      <c r="K10" s="122">
        <f t="shared" ref="K10:K15" si="3">+D10-J10</f>
        <v>1430930157.4200001</v>
      </c>
    </row>
    <row r="11" spans="1:15" x14ac:dyDescent="0.25">
      <c r="A11" s="20" t="s">
        <v>7</v>
      </c>
      <c r="B11" s="21">
        <f>'Gastos detallado'!B251+'Gastos detallado'!B91</f>
        <v>194505010</v>
      </c>
      <c r="C11" s="21">
        <f>'Gastos detallado'!C251+'Gastos detallado'!C91</f>
        <v>0</v>
      </c>
      <c r="D11" s="21">
        <f t="shared" si="0"/>
        <v>194505010</v>
      </c>
      <c r="E11" s="21">
        <f>'Gastos detallado'!E251+'Gastos detallado'!E91</f>
        <v>0</v>
      </c>
      <c r="F11" s="21">
        <f>'Gastos detallado'!F251+'Gastos detallado'!F91</f>
        <v>0</v>
      </c>
      <c r="G11" s="21"/>
      <c r="H11" s="21">
        <f t="shared" si="1"/>
        <v>0</v>
      </c>
      <c r="I11" s="21">
        <f>'Gastos detallado'!I251+'Gastos detallado'!I91</f>
        <v>9063134.25</v>
      </c>
      <c r="J11" s="122">
        <f t="shared" si="2"/>
        <v>9063134.25</v>
      </c>
      <c r="K11" s="122">
        <f t="shared" si="3"/>
        <v>185441875.75</v>
      </c>
    </row>
    <row r="12" spans="1:15" x14ac:dyDescent="0.25">
      <c r="A12" s="20" t="s">
        <v>8</v>
      </c>
      <c r="B12" s="21">
        <f>'Gastos detallado'!B124+'Gastos detallado'!B282</f>
        <v>786488806</v>
      </c>
      <c r="C12" s="21">
        <f>'Gastos detallado'!C124+'Gastos detallado'!C282</f>
        <v>0</v>
      </c>
      <c r="D12" s="21">
        <f t="shared" si="0"/>
        <v>786488806</v>
      </c>
      <c r="E12" s="21">
        <f>'Gastos detallado'!E124+'Gastos detallado'!E282</f>
        <v>0</v>
      </c>
      <c r="F12" s="21">
        <f>'Gastos detallado'!F124+'Gastos detallado'!F282</f>
        <v>0</v>
      </c>
      <c r="G12" s="21"/>
      <c r="H12" s="21">
        <f t="shared" si="1"/>
        <v>0</v>
      </c>
      <c r="I12" s="21">
        <f>'Gastos detallado'!I124+'Gastos detallado'!I282</f>
        <v>121900</v>
      </c>
      <c r="J12" s="122">
        <f t="shared" si="2"/>
        <v>121900</v>
      </c>
      <c r="K12" s="122">
        <f t="shared" si="3"/>
        <v>786366906</v>
      </c>
    </row>
    <row r="13" spans="1:15" x14ac:dyDescent="0.25">
      <c r="A13" s="20" t="s">
        <v>12</v>
      </c>
      <c r="B13" s="21">
        <f>'Gastos detallado'!B142+'Gastos detallado'!B300</f>
        <v>133869712</v>
      </c>
      <c r="C13" s="21">
        <f>'Gastos detallado'!C142+'Gastos detallado'!C300</f>
        <v>0</v>
      </c>
      <c r="D13" s="21">
        <f t="shared" si="0"/>
        <v>133869712</v>
      </c>
      <c r="E13" s="21">
        <f>'Gastos detallado'!E142+'Gastos detallado'!E300</f>
        <v>0</v>
      </c>
      <c r="F13" s="21">
        <f>'Gastos detallado'!F142+'Gastos detallado'!F300</f>
        <v>0</v>
      </c>
      <c r="G13" s="21"/>
      <c r="H13" s="21">
        <f t="shared" si="1"/>
        <v>0</v>
      </c>
      <c r="I13" s="21">
        <f>'Gastos detallado'!I142+'Gastos detallado'!I300</f>
        <v>22626261.579999998</v>
      </c>
      <c r="J13" s="122">
        <f t="shared" si="2"/>
        <v>22626261.579999998</v>
      </c>
      <c r="K13" s="122">
        <f t="shared" si="3"/>
        <v>111243450.42</v>
      </c>
    </row>
    <row r="14" spans="1:15" x14ac:dyDescent="0.25">
      <c r="A14" s="20" t="s">
        <v>13</v>
      </c>
      <c r="B14" s="21">
        <f>'Gastos detallado'!B315</f>
        <v>0</v>
      </c>
      <c r="C14" s="21">
        <f>'Gastos detallado'!C315</f>
        <v>0</v>
      </c>
      <c r="D14" s="21">
        <f t="shared" si="0"/>
        <v>0</v>
      </c>
      <c r="E14" s="21">
        <f>'Gastos detallado'!E315</f>
        <v>0</v>
      </c>
      <c r="F14" s="21">
        <f>'Gastos detallado'!F315</f>
        <v>0</v>
      </c>
      <c r="G14" s="21"/>
      <c r="H14" s="21">
        <f t="shared" si="1"/>
        <v>0</v>
      </c>
      <c r="I14" s="21">
        <f>'Gastos detallado'!I315</f>
        <v>0</v>
      </c>
      <c r="J14" s="122">
        <f t="shared" si="2"/>
        <v>0</v>
      </c>
      <c r="K14" s="122">
        <f t="shared" si="3"/>
        <v>0</v>
      </c>
    </row>
    <row r="15" spans="1:15" x14ac:dyDescent="0.25">
      <c r="A15" s="20" t="s">
        <v>654</v>
      </c>
      <c r="B15" s="21">
        <f>'Gastos detallado'!B154</f>
        <v>0</v>
      </c>
      <c r="C15" s="21">
        <f>'Gastos detallado'!C154</f>
        <v>0</v>
      </c>
      <c r="D15" s="21">
        <f t="shared" si="0"/>
        <v>0</v>
      </c>
      <c r="E15" s="21">
        <f>'Gastos detallado'!E154</f>
        <v>0</v>
      </c>
      <c r="F15" s="21">
        <f>'Gastos detallado'!F154</f>
        <v>0</v>
      </c>
      <c r="G15" s="21"/>
      <c r="H15" s="21">
        <f t="shared" si="1"/>
        <v>0</v>
      </c>
      <c r="I15" s="21">
        <f>'Gastos detallado'!I154</f>
        <v>0</v>
      </c>
      <c r="J15" s="122">
        <v>0</v>
      </c>
      <c r="K15" s="122">
        <f t="shared" si="3"/>
        <v>0</v>
      </c>
    </row>
    <row r="16" spans="1:15" ht="15.75" thickBot="1" x14ac:dyDescent="0.3">
      <c r="A16" s="22" t="s">
        <v>38</v>
      </c>
      <c r="B16" s="23">
        <f>SUM(B9:B15)</f>
        <v>6475036000.2299995</v>
      </c>
      <c r="C16" s="23">
        <f>SUM(C9:C15)</f>
        <v>0</v>
      </c>
      <c r="D16" s="23">
        <f>SUM(D9:D15)</f>
        <v>6475036000.2299995</v>
      </c>
      <c r="E16" s="23">
        <f t="shared" ref="E16:G16" si="4">SUM(E9:E14)</f>
        <v>0</v>
      </c>
      <c r="F16" s="23">
        <f t="shared" si="4"/>
        <v>0</v>
      </c>
      <c r="G16" s="23">
        <f t="shared" si="4"/>
        <v>0</v>
      </c>
      <c r="H16" s="23">
        <f>SUM(H9:H15)</f>
        <v>0</v>
      </c>
      <c r="I16" s="23">
        <f t="shared" ref="I16:K16" si="5">SUM(I9:I15)</f>
        <v>1057869450.6100001</v>
      </c>
      <c r="J16" s="23">
        <f t="shared" si="5"/>
        <v>1057869450.6100001</v>
      </c>
      <c r="K16" s="23">
        <f t="shared" si="5"/>
        <v>5417166549.6199999</v>
      </c>
    </row>
    <row r="18" spans="4:10" x14ac:dyDescent="0.25">
      <c r="D18" s="2"/>
    </row>
    <row r="19" spans="4:10" x14ac:dyDescent="0.25">
      <c r="I19" s="2"/>
      <c r="J19" s="2"/>
    </row>
    <row r="20" spans="4:10" x14ac:dyDescent="0.25">
      <c r="J20" s="2"/>
    </row>
    <row r="21" spans="4:10" x14ac:dyDescent="0.25">
      <c r="J21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4:K59"/>
  <sheetViews>
    <sheetView showGridLines="0" zoomScaleNormal="100" workbookViewId="0">
      <selection activeCell="A7" sqref="A7:K7"/>
    </sheetView>
  </sheetViews>
  <sheetFormatPr baseColWidth="10" defaultRowHeight="15" x14ac:dyDescent="0.25"/>
  <cols>
    <col min="1" max="1" width="22.5703125" style="1" customWidth="1"/>
    <col min="2" max="5" width="17.140625" bestFit="1" customWidth="1"/>
    <col min="6" max="7" width="12.5703125" bestFit="1" customWidth="1"/>
    <col min="8" max="8" width="16.7109375" bestFit="1" customWidth="1"/>
    <col min="9" max="11" width="17.140625" bestFit="1" customWidth="1"/>
  </cols>
  <sheetData>
    <row r="4" spans="1:11" x14ac:dyDescent="0.25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x14ac:dyDescent="0.25">
      <c r="A5" s="240" t="s">
        <v>583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x14ac:dyDescent="0.25">
      <c r="A6" s="240" t="s">
        <v>586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5.75" thickBot="1" x14ac:dyDescent="0.3">
      <c r="A7" s="241" t="s">
        <v>690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30" x14ac:dyDescent="0.25">
      <c r="A8" s="68" t="s">
        <v>4</v>
      </c>
      <c r="B8" s="69" t="s">
        <v>185</v>
      </c>
      <c r="C8" s="69" t="s">
        <v>52</v>
      </c>
      <c r="D8" s="69" t="s">
        <v>186</v>
      </c>
      <c r="E8" s="69" t="s">
        <v>54</v>
      </c>
      <c r="F8" s="69" t="s">
        <v>55</v>
      </c>
      <c r="G8" s="69" t="s">
        <v>56</v>
      </c>
      <c r="H8" s="70" t="s">
        <v>582</v>
      </c>
      <c r="I8" s="69" t="s">
        <v>45</v>
      </c>
      <c r="J8" s="69" t="s">
        <v>1</v>
      </c>
      <c r="K8" s="71" t="s">
        <v>18</v>
      </c>
    </row>
    <row r="9" spans="1:11" x14ac:dyDescent="0.25">
      <c r="A9" s="72"/>
      <c r="B9" s="73"/>
      <c r="C9" s="73"/>
      <c r="D9" s="73"/>
      <c r="E9" s="73"/>
      <c r="F9" s="73"/>
      <c r="G9" s="73"/>
      <c r="H9" s="74"/>
      <c r="I9" s="73"/>
      <c r="J9" s="73"/>
      <c r="K9" s="75"/>
    </row>
    <row r="10" spans="1:11" ht="30" x14ac:dyDescent="0.25">
      <c r="A10" s="76" t="s">
        <v>585</v>
      </c>
      <c r="B10" s="77">
        <f t="shared" ref="B10:G10" si="0">SUM(B11:B16)</f>
        <v>750000</v>
      </c>
      <c r="C10" s="77">
        <f t="shared" si="0"/>
        <v>0</v>
      </c>
      <c r="D10" s="77">
        <f t="shared" si="0"/>
        <v>750000</v>
      </c>
      <c r="E10" s="77">
        <f>SUM(E11:E16)</f>
        <v>0</v>
      </c>
      <c r="F10" s="77">
        <f>SUM(F11:F16)</f>
        <v>0</v>
      </c>
      <c r="G10" s="77">
        <f t="shared" si="0"/>
        <v>0</v>
      </c>
      <c r="H10" s="77">
        <f>SUM(H11:H16)</f>
        <v>0</v>
      </c>
      <c r="I10" s="77">
        <f>SUM(I11:I16)</f>
        <v>132667335.14</v>
      </c>
      <c r="J10" s="77">
        <f t="shared" ref="J10:K10" si="1">SUM(J11:J16)</f>
        <v>132667335.14</v>
      </c>
      <c r="K10" s="78">
        <f t="shared" si="1"/>
        <v>-131917335.14</v>
      </c>
    </row>
    <row r="11" spans="1:11" x14ac:dyDescent="0.25">
      <c r="A11" s="79" t="s">
        <v>5</v>
      </c>
      <c r="B11" s="80">
        <v>0</v>
      </c>
      <c r="C11" s="80">
        <v>0</v>
      </c>
      <c r="D11" s="80">
        <f>+B11+C11</f>
        <v>0</v>
      </c>
      <c r="E11" s="80">
        <v>0</v>
      </c>
      <c r="F11" s="80"/>
      <c r="G11" s="80"/>
      <c r="H11" s="80">
        <f>SUM(E11:G11)</f>
        <v>0</v>
      </c>
      <c r="I11" s="80">
        <f>+'Egresos por Dirección'!B4-'Detalle por Dirección'!H11</f>
        <v>129549667.14</v>
      </c>
      <c r="J11" s="80">
        <f>+I11+H11</f>
        <v>129549667.14</v>
      </c>
      <c r="K11" s="81">
        <f>+D11-J11</f>
        <v>-129549667.14</v>
      </c>
    </row>
    <row r="12" spans="1:11" x14ac:dyDescent="0.25">
      <c r="A12" s="79" t="s">
        <v>6</v>
      </c>
      <c r="B12" s="80">
        <v>0</v>
      </c>
      <c r="C12" s="80">
        <v>0</v>
      </c>
      <c r="D12" s="80">
        <f t="shared" ref="D12:D42" si="2">+B12+C12</f>
        <v>0</v>
      </c>
      <c r="E12" s="80">
        <v>0</v>
      </c>
      <c r="F12" s="80"/>
      <c r="G12" s="80"/>
      <c r="H12" s="80">
        <f t="shared" ref="H12:H45" si="3">SUM(E12:G12)</f>
        <v>0</v>
      </c>
      <c r="I12" s="80">
        <f>+'Egresos por Dirección'!B5-'Detalle por Dirección'!H12</f>
        <v>2992852</v>
      </c>
      <c r="J12" s="80">
        <f>+I12+H12</f>
        <v>2992852</v>
      </c>
      <c r="K12" s="81">
        <f t="shared" ref="K12:K45" si="4">+D12-J12</f>
        <v>-2992852</v>
      </c>
    </row>
    <row r="13" spans="1:11" ht="29.25" x14ac:dyDescent="0.25">
      <c r="A13" s="79" t="s">
        <v>7</v>
      </c>
      <c r="B13" s="80">
        <v>750000</v>
      </c>
      <c r="C13" s="80">
        <v>0</v>
      </c>
      <c r="D13" s="80">
        <f t="shared" si="2"/>
        <v>750000</v>
      </c>
      <c r="E13" s="80">
        <v>0</v>
      </c>
      <c r="F13" s="80"/>
      <c r="G13" s="80"/>
      <c r="H13" s="80">
        <f t="shared" si="3"/>
        <v>0</v>
      </c>
      <c r="I13" s="80">
        <f>+'Egresos por Dirección'!B6-'Detalle por Dirección'!H13</f>
        <v>124816</v>
      </c>
      <c r="J13" s="80">
        <f t="shared" ref="J13:J16" si="5">+I13+H13</f>
        <v>124816</v>
      </c>
      <c r="K13" s="81">
        <f t="shared" si="4"/>
        <v>625184</v>
      </c>
    </row>
    <row r="14" spans="1:11" x14ac:dyDescent="0.25">
      <c r="A14" s="79" t="s">
        <v>8</v>
      </c>
      <c r="B14" s="80">
        <v>0</v>
      </c>
      <c r="C14" s="80">
        <v>0</v>
      </c>
      <c r="D14" s="80">
        <f t="shared" si="2"/>
        <v>0</v>
      </c>
      <c r="E14" s="80">
        <v>0</v>
      </c>
      <c r="F14" s="80"/>
      <c r="G14" s="80"/>
      <c r="H14" s="80">
        <f t="shared" si="3"/>
        <v>0</v>
      </c>
      <c r="I14" s="80">
        <f>+'Egresos por Dirección'!B7-'Detalle por Dirección'!H14</f>
        <v>0</v>
      </c>
      <c r="J14" s="80">
        <f t="shared" si="5"/>
        <v>0</v>
      </c>
      <c r="K14" s="81">
        <f t="shared" si="4"/>
        <v>0</v>
      </c>
    </row>
    <row r="15" spans="1:11" ht="29.25" x14ac:dyDescent="0.25">
      <c r="A15" s="79" t="s">
        <v>12</v>
      </c>
      <c r="B15" s="80">
        <v>0</v>
      </c>
      <c r="C15" s="80">
        <v>0</v>
      </c>
      <c r="D15" s="80">
        <f t="shared" si="2"/>
        <v>0</v>
      </c>
      <c r="E15" s="80">
        <v>0</v>
      </c>
      <c r="F15" s="80"/>
      <c r="G15" s="80"/>
      <c r="H15" s="80">
        <f t="shared" si="3"/>
        <v>0</v>
      </c>
      <c r="I15" s="80">
        <v>0</v>
      </c>
      <c r="J15" s="80">
        <f t="shared" si="5"/>
        <v>0</v>
      </c>
      <c r="K15" s="81">
        <f t="shared" si="4"/>
        <v>0</v>
      </c>
    </row>
    <row r="16" spans="1:11" ht="29.25" x14ac:dyDescent="0.25">
      <c r="A16" s="79" t="s">
        <v>13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/>
      <c r="G16" s="80"/>
      <c r="H16" s="80">
        <f t="shared" si="3"/>
        <v>0</v>
      </c>
      <c r="I16" s="80">
        <v>0</v>
      </c>
      <c r="J16" s="80">
        <f t="shared" si="5"/>
        <v>0</v>
      </c>
      <c r="K16" s="81">
        <f t="shared" si="4"/>
        <v>0</v>
      </c>
    </row>
    <row r="17" spans="1:11" x14ac:dyDescent="0.25">
      <c r="A17" s="76" t="s">
        <v>23</v>
      </c>
      <c r="B17" s="78">
        <f t="shared" ref="B17:J17" si="6">SUM(B18:B24)</f>
        <v>750000</v>
      </c>
      <c r="C17" s="78">
        <f t="shared" si="6"/>
        <v>0</v>
      </c>
      <c r="D17" s="78">
        <f t="shared" si="6"/>
        <v>750000</v>
      </c>
      <c r="E17" s="78">
        <f t="shared" si="6"/>
        <v>0</v>
      </c>
      <c r="F17" s="78">
        <f t="shared" si="6"/>
        <v>0</v>
      </c>
      <c r="G17" s="78">
        <f t="shared" si="6"/>
        <v>0</v>
      </c>
      <c r="H17" s="78">
        <f t="shared" si="6"/>
        <v>0</v>
      </c>
      <c r="I17" s="78">
        <f t="shared" si="6"/>
        <v>120340979.28999999</v>
      </c>
      <c r="J17" s="78">
        <f t="shared" si="6"/>
        <v>120340979.28999999</v>
      </c>
      <c r="K17" s="78">
        <f>SUM(K18:K24)</f>
        <v>-119590979.28999999</v>
      </c>
    </row>
    <row r="18" spans="1:11" x14ac:dyDescent="0.25">
      <c r="A18" s="79" t="s">
        <v>5</v>
      </c>
      <c r="B18" s="80">
        <v>0</v>
      </c>
      <c r="C18" s="80">
        <v>0</v>
      </c>
      <c r="D18" s="80">
        <f t="shared" si="2"/>
        <v>0</v>
      </c>
      <c r="E18" s="80">
        <v>0</v>
      </c>
      <c r="F18" s="80"/>
      <c r="G18" s="80"/>
      <c r="H18" s="80">
        <f t="shared" si="3"/>
        <v>0</v>
      </c>
      <c r="I18" s="80">
        <f>+'Egresos por Dirección'!C4-'Detalle por Dirección'!H18</f>
        <v>0</v>
      </c>
      <c r="J18" s="80">
        <f t="shared" ref="J18:J38" si="7">+I18+H18</f>
        <v>0</v>
      </c>
      <c r="K18" s="81">
        <f t="shared" si="4"/>
        <v>0</v>
      </c>
    </row>
    <row r="19" spans="1:11" x14ac:dyDescent="0.25">
      <c r="A19" s="79" t="s">
        <v>6</v>
      </c>
      <c r="B19" s="80">
        <v>0</v>
      </c>
      <c r="C19" s="80">
        <v>0</v>
      </c>
      <c r="D19" s="80">
        <f t="shared" si="2"/>
        <v>0</v>
      </c>
      <c r="E19" s="80">
        <v>0</v>
      </c>
      <c r="F19" s="80"/>
      <c r="G19" s="80"/>
      <c r="H19" s="80">
        <f t="shared" si="3"/>
        <v>0</v>
      </c>
      <c r="I19" s="80">
        <f>+'Egresos por Dirección'!C5-'Detalle por Dirección'!H19</f>
        <v>22755972.77</v>
      </c>
      <c r="J19" s="80">
        <f t="shared" si="7"/>
        <v>22755972.77</v>
      </c>
      <c r="K19" s="81">
        <f t="shared" si="4"/>
        <v>-22755972.77</v>
      </c>
    </row>
    <row r="20" spans="1:11" ht="29.25" x14ac:dyDescent="0.25">
      <c r="A20" s="79" t="s">
        <v>7</v>
      </c>
      <c r="B20" s="80">
        <v>750000</v>
      </c>
      <c r="C20" s="80">
        <v>0</v>
      </c>
      <c r="D20" s="80">
        <f t="shared" si="2"/>
        <v>750000</v>
      </c>
      <c r="E20" s="80">
        <v>0</v>
      </c>
      <c r="F20" s="80"/>
      <c r="G20" s="80"/>
      <c r="H20" s="80">
        <f t="shared" si="3"/>
        <v>0</v>
      </c>
      <c r="I20" s="80">
        <f>+'Egresos por Dirección'!C6-'Detalle por Dirección'!H20</f>
        <v>652446.82999999996</v>
      </c>
      <c r="J20" s="80">
        <f t="shared" si="7"/>
        <v>652446.82999999996</v>
      </c>
      <c r="K20" s="81">
        <f t="shared" si="4"/>
        <v>97553.170000000042</v>
      </c>
    </row>
    <row r="21" spans="1:11" x14ac:dyDescent="0.25">
      <c r="A21" s="79" t="s">
        <v>8</v>
      </c>
      <c r="B21" s="80">
        <v>0</v>
      </c>
      <c r="C21" s="80">
        <v>0</v>
      </c>
      <c r="D21" s="80">
        <f t="shared" si="2"/>
        <v>0</v>
      </c>
      <c r="E21" s="80">
        <v>0</v>
      </c>
      <c r="F21" s="80"/>
      <c r="G21" s="80"/>
      <c r="H21" s="80">
        <f t="shared" si="3"/>
        <v>0</v>
      </c>
      <c r="I21" s="80">
        <f>+'Egresos por Dirección'!C7-'Detalle por Dirección'!H21</f>
        <v>96932559.689999998</v>
      </c>
      <c r="J21" s="80">
        <f t="shared" si="7"/>
        <v>96932559.689999998</v>
      </c>
      <c r="K21" s="81">
        <f t="shared" si="4"/>
        <v>-96932559.689999998</v>
      </c>
    </row>
    <row r="22" spans="1:11" ht="29.25" x14ac:dyDescent="0.25">
      <c r="A22" s="79" t="s">
        <v>12</v>
      </c>
      <c r="B22" s="80">
        <v>0</v>
      </c>
      <c r="C22" s="80">
        <v>0</v>
      </c>
      <c r="D22" s="80">
        <f t="shared" si="2"/>
        <v>0</v>
      </c>
      <c r="E22" s="80">
        <v>0</v>
      </c>
      <c r="F22" s="80"/>
      <c r="G22" s="80"/>
      <c r="H22" s="80">
        <f t="shared" si="3"/>
        <v>0</v>
      </c>
      <c r="I22" s="80">
        <f>+'Egresos por Dirección'!C8-'Detalle por Dirección'!H22</f>
        <v>0</v>
      </c>
      <c r="J22" s="80">
        <f t="shared" si="7"/>
        <v>0</v>
      </c>
      <c r="K22" s="81">
        <f t="shared" si="4"/>
        <v>0</v>
      </c>
    </row>
    <row r="23" spans="1:11" ht="29.25" x14ac:dyDescent="0.25">
      <c r="A23" s="79" t="s">
        <v>13</v>
      </c>
      <c r="B23" s="80">
        <v>0</v>
      </c>
      <c r="C23" s="80">
        <v>0</v>
      </c>
      <c r="D23" s="80">
        <f t="shared" si="2"/>
        <v>0</v>
      </c>
      <c r="E23" s="80">
        <v>0</v>
      </c>
      <c r="F23" s="80"/>
      <c r="G23" s="80"/>
      <c r="H23" s="80">
        <f t="shared" si="3"/>
        <v>0</v>
      </c>
      <c r="I23" s="80">
        <f>+'Egresos por Dirección'!C9-'Detalle por Dirección'!H23</f>
        <v>0</v>
      </c>
      <c r="J23" s="80">
        <f t="shared" si="7"/>
        <v>0</v>
      </c>
      <c r="K23" s="81">
        <f t="shared" si="4"/>
        <v>0</v>
      </c>
    </row>
    <row r="24" spans="1:11" x14ac:dyDescent="0.25">
      <c r="A24" s="79" t="s">
        <v>649</v>
      </c>
      <c r="B24" s="80">
        <v>0</v>
      </c>
      <c r="C24" s="80">
        <v>0</v>
      </c>
      <c r="D24" s="80">
        <f t="shared" si="2"/>
        <v>0</v>
      </c>
      <c r="E24" s="80">
        <v>0</v>
      </c>
      <c r="F24" s="80"/>
      <c r="G24" s="80"/>
      <c r="H24" s="80"/>
      <c r="I24" s="80"/>
      <c r="J24" s="80"/>
      <c r="K24" s="81">
        <f t="shared" si="4"/>
        <v>0</v>
      </c>
    </row>
    <row r="25" spans="1:11" ht="45" x14ac:dyDescent="0.25">
      <c r="A25" s="76" t="s">
        <v>41</v>
      </c>
      <c r="B25" s="78">
        <f t="shared" ref="B25:J25" si="8">SUM(B26:B32)</f>
        <v>775008640</v>
      </c>
      <c r="C25" s="78">
        <f t="shared" si="8"/>
        <v>16820000</v>
      </c>
      <c r="D25" s="78">
        <f t="shared" si="8"/>
        <v>791828640</v>
      </c>
      <c r="E25" s="78">
        <f t="shared" si="8"/>
        <v>92442579.450000018</v>
      </c>
      <c r="F25" s="78">
        <f t="shared" si="8"/>
        <v>0</v>
      </c>
      <c r="G25" s="78">
        <f t="shared" si="8"/>
        <v>0</v>
      </c>
      <c r="H25" s="78">
        <f t="shared" si="8"/>
        <v>92442579.450000018</v>
      </c>
      <c r="I25" s="78">
        <f t="shared" si="8"/>
        <v>344629205.24000007</v>
      </c>
      <c r="J25" s="78">
        <f t="shared" si="8"/>
        <v>437071784.69</v>
      </c>
      <c r="K25" s="78">
        <f>SUM(K26:K32)</f>
        <v>354756855.30999994</v>
      </c>
    </row>
    <row r="26" spans="1:11" x14ac:dyDescent="0.25">
      <c r="A26" s="79" t="s">
        <v>5</v>
      </c>
      <c r="B26" s="80">
        <v>278106000</v>
      </c>
      <c r="C26" s="80">
        <v>17500000</v>
      </c>
      <c r="D26" s="80">
        <f t="shared" si="2"/>
        <v>295606000</v>
      </c>
      <c r="E26" s="80">
        <v>51324646.310000002</v>
      </c>
      <c r="F26" s="80"/>
      <c r="G26" s="80"/>
      <c r="H26" s="80">
        <f t="shared" si="3"/>
        <v>51324646.310000002</v>
      </c>
      <c r="I26" s="80">
        <f>+'Egresos por Dirección'!D4-'Detalle por Dirección'!H26</f>
        <v>-51324646.310000002</v>
      </c>
      <c r="J26" s="80">
        <f t="shared" si="7"/>
        <v>0</v>
      </c>
      <c r="K26" s="81">
        <f t="shared" si="4"/>
        <v>295606000</v>
      </c>
    </row>
    <row r="27" spans="1:11" x14ac:dyDescent="0.25">
      <c r="A27" s="79" t="s">
        <v>6</v>
      </c>
      <c r="B27" s="80">
        <v>347941370</v>
      </c>
      <c r="C27" s="80">
        <v>-680000</v>
      </c>
      <c r="D27" s="80">
        <f t="shared" si="2"/>
        <v>347261370</v>
      </c>
      <c r="E27" s="80">
        <v>35327548.149999999</v>
      </c>
      <c r="F27" s="80"/>
      <c r="G27" s="80"/>
      <c r="H27" s="80">
        <f t="shared" si="3"/>
        <v>35327548.149999999</v>
      </c>
      <c r="I27" s="80">
        <f>+'Egresos por Dirección'!D5-'Detalle por Dirección'!H27</f>
        <v>373009873.82000005</v>
      </c>
      <c r="J27" s="80">
        <f t="shared" si="7"/>
        <v>408337421.97000003</v>
      </c>
      <c r="K27" s="81">
        <f t="shared" si="4"/>
        <v>-61076051.970000029</v>
      </c>
    </row>
    <row r="28" spans="1:11" ht="29.25" x14ac:dyDescent="0.25">
      <c r="A28" s="79" t="s">
        <v>7</v>
      </c>
      <c r="B28" s="80">
        <v>48105270</v>
      </c>
      <c r="C28" s="80">
        <v>0</v>
      </c>
      <c r="D28" s="80">
        <f t="shared" si="2"/>
        <v>48105270</v>
      </c>
      <c r="E28" s="80">
        <v>1797363.59</v>
      </c>
      <c r="F28" s="80"/>
      <c r="G28" s="80"/>
      <c r="H28" s="80">
        <f t="shared" si="3"/>
        <v>1797363.59</v>
      </c>
      <c r="I28" s="80">
        <f>+'Egresos por Dirección'!D6-'Detalle por Dirección'!H28</f>
        <v>23584048.850000001</v>
      </c>
      <c r="J28" s="80">
        <f t="shared" si="7"/>
        <v>25381412.440000001</v>
      </c>
      <c r="K28" s="81">
        <f t="shared" si="4"/>
        <v>22723857.559999999</v>
      </c>
    </row>
    <row r="29" spans="1:11" x14ac:dyDescent="0.25">
      <c r="A29" s="79" t="s">
        <v>8</v>
      </c>
      <c r="B29" s="80">
        <v>85286000</v>
      </c>
      <c r="C29" s="80">
        <v>0</v>
      </c>
      <c r="D29" s="80">
        <f t="shared" si="2"/>
        <v>85286000</v>
      </c>
      <c r="E29" s="80">
        <v>0</v>
      </c>
      <c r="F29" s="80"/>
      <c r="G29" s="80"/>
      <c r="H29" s="80">
        <f t="shared" si="3"/>
        <v>0</v>
      </c>
      <c r="I29" s="80">
        <f>+'Egresos por Dirección'!D7-'Detalle por Dirección'!H29</f>
        <v>3352950.28</v>
      </c>
      <c r="J29" s="80">
        <f t="shared" si="7"/>
        <v>3352950.28</v>
      </c>
      <c r="K29" s="81">
        <f t="shared" si="4"/>
        <v>81933049.719999999</v>
      </c>
    </row>
    <row r="30" spans="1:11" ht="29.25" x14ac:dyDescent="0.25">
      <c r="A30" s="79" t="s">
        <v>12</v>
      </c>
      <c r="B30" s="80">
        <v>15570000</v>
      </c>
      <c r="C30" s="80">
        <v>0</v>
      </c>
      <c r="D30" s="80">
        <f t="shared" si="2"/>
        <v>15570000</v>
      </c>
      <c r="E30" s="80">
        <v>3993021.4</v>
      </c>
      <c r="F30" s="80"/>
      <c r="G30" s="80"/>
      <c r="H30" s="80">
        <f t="shared" si="3"/>
        <v>3993021.4</v>
      </c>
      <c r="I30" s="80">
        <f>+'Egresos por Dirección'!D8-'Detalle por Dirección'!H30</f>
        <v>-3993021.4</v>
      </c>
      <c r="J30" s="80">
        <f t="shared" si="7"/>
        <v>0</v>
      </c>
      <c r="K30" s="81">
        <f t="shared" si="4"/>
        <v>15570000</v>
      </c>
    </row>
    <row r="31" spans="1:11" ht="29.25" x14ac:dyDescent="0.25">
      <c r="A31" s="79" t="s">
        <v>13</v>
      </c>
      <c r="B31" s="80">
        <v>0</v>
      </c>
      <c r="C31" s="80">
        <v>0</v>
      </c>
      <c r="D31" s="80">
        <f t="shared" si="2"/>
        <v>0</v>
      </c>
      <c r="E31" s="80">
        <v>0</v>
      </c>
      <c r="F31" s="80"/>
      <c r="G31" s="80"/>
      <c r="H31" s="80">
        <f t="shared" si="3"/>
        <v>0</v>
      </c>
      <c r="I31" s="80">
        <f>+'Egresos por Dirección'!D9-'Detalle por Dirección'!H31</f>
        <v>0</v>
      </c>
      <c r="J31" s="80">
        <f t="shared" si="7"/>
        <v>0</v>
      </c>
      <c r="K31" s="81">
        <f t="shared" si="4"/>
        <v>0</v>
      </c>
    </row>
    <row r="32" spans="1:11" x14ac:dyDescent="0.25">
      <c r="A32" s="79" t="s">
        <v>649</v>
      </c>
      <c r="B32" s="80">
        <v>0</v>
      </c>
      <c r="C32" s="80">
        <v>0</v>
      </c>
      <c r="D32" s="80">
        <f t="shared" si="2"/>
        <v>0</v>
      </c>
      <c r="E32" s="80">
        <v>0</v>
      </c>
      <c r="F32" s="80"/>
      <c r="G32" s="80"/>
      <c r="H32" s="80"/>
      <c r="I32" s="80"/>
      <c r="J32" s="80">
        <f t="shared" si="7"/>
        <v>0</v>
      </c>
      <c r="K32" s="81">
        <f t="shared" si="4"/>
        <v>0</v>
      </c>
    </row>
    <row r="33" spans="1:11" ht="30" x14ac:dyDescent="0.25">
      <c r="A33" s="76" t="s">
        <v>33</v>
      </c>
      <c r="B33" s="77">
        <f t="shared" ref="B33:H33" si="9">SUM(B34:B39)</f>
        <v>2046986605</v>
      </c>
      <c r="C33" s="77">
        <f t="shared" si="9"/>
        <v>680000</v>
      </c>
      <c r="D33" s="77">
        <f t="shared" si="9"/>
        <v>2047666605</v>
      </c>
      <c r="E33" s="77">
        <f>SUM(E34:E39)</f>
        <v>155023788.63</v>
      </c>
      <c r="F33" s="77">
        <f>SUM(F34:F39)</f>
        <v>0</v>
      </c>
      <c r="G33" s="77">
        <f t="shared" si="9"/>
        <v>0</v>
      </c>
      <c r="H33" s="77">
        <f t="shared" si="9"/>
        <v>155023788.63</v>
      </c>
      <c r="I33" s="77">
        <f>SUM(I34:I39)</f>
        <v>368003287.55000007</v>
      </c>
      <c r="J33" s="77">
        <f t="shared" ref="J33:K33" si="10">SUM(J34:J39)</f>
        <v>523027076.18000001</v>
      </c>
      <c r="K33" s="78">
        <f t="shared" si="10"/>
        <v>1524639528.8199999</v>
      </c>
    </row>
    <row r="34" spans="1:11" x14ac:dyDescent="0.25">
      <c r="A34" s="79" t="s">
        <v>5</v>
      </c>
      <c r="B34" s="80">
        <v>0</v>
      </c>
      <c r="C34" s="80">
        <v>0</v>
      </c>
      <c r="D34" s="80">
        <f t="shared" si="2"/>
        <v>0</v>
      </c>
      <c r="E34" s="80">
        <v>0</v>
      </c>
      <c r="F34" s="80"/>
      <c r="G34" s="80"/>
      <c r="H34" s="80">
        <f t="shared" si="3"/>
        <v>0</v>
      </c>
      <c r="I34" s="80">
        <f>+'Egresos por Dirección'!E4-'Detalle por Dirección'!H34</f>
        <v>0</v>
      </c>
      <c r="J34" s="80">
        <f t="shared" si="7"/>
        <v>0</v>
      </c>
      <c r="K34" s="81">
        <f t="shared" si="4"/>
        <v>0</v>
      </c>
    </row>
    <row r="35" spans="1:11" x14ac:dyDescent="0.25">
      <c r="A35" s="79" t="s">
        <v>6</v>
      </c>
      <c r="B35" s="80">
        <v>1145345000</v>
      </c>
      <c r="C35" s="80">
        <v>680000</v>
      </c>
      <c r="D35" s="80">
        <f t="shared" si="2"/>
        <v>1146025000</v>
      </c>
      <c r="E35" s="80">
        <v>128540882.20999999</v>
      </c>
      <c r="F35" s="80"/>
      <c r="G35" s="80"/>
      <c r="H35" s="80">
        <f t="shared" si="3"/>
        <v>128540882.20999999</v>
      </c>
      <c r="I35" s="80">
        <f>+'Egresos por Dirección'!E5-'Detalle por Dirección'!H35</f>
        <v>110100329.06000002</v>
      </c>
      <c r="J35" s="80">
        <f t="shared" si="7"/>
        <v>238641211.27000001</v>
      </c>
      <c r="K35" s="81">
        <f t="shared" si="4"/>
        <v>907383788.73000002</v>
      </c>
    </row>
    <row r="36" spans="1:11" ht="29.25" x14ac:dyDescent="0.25">
      <c r="A36" s="79" t="s">
        <v>7</v>
      </c>
      <c r="B36" s="80">
        <v>166112900</v>
      </c>
      <c r="C36" s="80">
        <v>0</v>
      </c>
      <c r="D36" s="80">
        <f t="shared" si="2"/>
        <v>166112900</v>
      </c>
      <c r="E36" s="80">
        <v>1865612.58</v>
      </c>
      <c r="F36" s="80"/>
      <c r="G36" s="80"/>
      <c r="H36" s="80">
        <f t="shared" si="3"/>
        <v>1865612.58</v>
      </c>
      <c r="I36" s="80">
        <f>+'Egresos por Dirección'!E6-'Detalle por Dirección'!H36</f>
        <v>27288749.460000001</v>
      </c>
      <c r="J36" s="80">
        <f t="shared" si="7"/>
        <v>29154362.039999999</v>
      </c>
      <c r="K36" s="81">
        <f t="shared" si="4"/>
        <v>136958537.96000001</v>
      </c>
    </row>
    <row r="37" spans="1:11" x14ac:dyDescent="0.25">
      <c r="A37" s="79" t="s">
        <v>8</v>
      </c>
      <c r="B37" s="80">
        <v>705528705</v>
      </c>
      <c r="C37" s="80">
        <v>0</v>
      </c>
      <c r="D37" s="80">
        <f t="shared" si="2"/>
        <v>705528705</v>
      </c>
      <c r="E37" s="80">
        <v>6224151.3099999996</v>
      </c>
      <c r="F37" s="80"/>
      <c r="G37" s="80"/>
      <c r="H37" s="80">
        <f t="shared" si="3"/>
        <v>6224151.3099999996</v>
      </c>
      <c r="I37" s="80">
        <f>+'Egresos por Dirección'!E7-'Detalle por Dirección'!H37</f>
        <v>219065788.30000001</v>
      </c>
      <c r="J37" s="80">
        <f t="shared" si="7"/>
        <v>225289939.61000001</v>
      </c>
      <c r="K37" s="81">
        <f t="shared" si="4"/>
        <v>480238765.38999999</v>
      </c>
    </row>
    <row r="38" spans="1:11" ht="29.25" x14ac:dyDescent="0.25">
      <c r="A38" s="79" t="s">
        <v>12</v>
      </c>
      <c r="B38" s="80">
        <v>30000000</v>
      </c>
      <c r="C38" s="80">
        <v>0</v>
      </c>
      <c r="D38" s="80">
        <f t="shared" si="2"/>
        <v>30000000</v>
      </c>
      <c r="E38" s="80">
        <v>18393142.530000001</v>
      </c>
      <c r="F38" s="80"/>
      <c r="G38" s="80"/>
      <c r="H38" s="80">
        <f t="shared" si="3"/>
        <v>18393142.530000001</v>
      </c>
      <c r="I38" s="121">
        <f>+'Egresos por Dirección'!E8-'Detalle por Dirección'!H38</f>
        <v>11548420.73</v>
      </c>
      <c r="J38" s="80">
        <f t="shared" si="7"/>
        <v>29941563.260000002</v>
      </c>
      <c r="K38" s="81">
        <f t="shared" si="4"/>
        <v>58436.739999998361</v>
      </c>
    </row>
    <row r="39" spans="1:11" ht="29.25" x14ac:dyDescent="0.25">
      <c r="A39" s="79" t="s">
        <v>13</v>
      </c>
      <c r="B39" s="80">
        <v>0</v>
      </c>
      <c r="C39" s="80">
        <v>0</v>
      </c>
      <c r="D39" s="80">
        <f t="shared" si="2"/>
        <v>0</v>
      </c>
      <c r="E39" s="80">
        <v>0</v>
      </c>
      <c r="F39" s="80"/>
      <c r="G39" s="80"/>
      <c r="H39" s="80">
        <f t="shared" si="3"/>
        <v>0</v>
      </c>
      <c r="I39" s="80">
        <f>+'Egresos por Dirección'!E9-'Detalle por Dirección'!H39</f>
        <v>0</v>
      </c>
      <c r="J39" s="80">
        <f>+I39+H39</f>
        <v>0</v>
      </c>
      <c r="K39" s="81">
        <f t="shared" si="4"/>
        <v>0</v>
      </c>
    </row>
    <row r="40" spans="1:11" ht="45" x14ac:dyDescent="0.25">
      <c r="A40" s="82" t="s">
        <v>645</v>
      </c>
      <c r="B40" s="77">
        <f>SUM(B41:B42)</f>
        <v>2320001109</v>
      </c>
      <c r="C40" s="77">
        <f t="shared" ref="C40:K40" si="11">SUM(C41:C42)</f>
        <v>-19956058.789999999</v>
      </c>
      <c r="D40" s="77">
        <f t="shared" si="11"/>
        <v>2300045050.21</v>
      </c>
      <c r="E40" s="77">
        <f t="shared" si="11"/>
        <v>573261068.38</v>
      </c>
      <c r="F40" s="77">
        <f t="shared" si="11"/>
        <v>0</v>
      </c>
      <c r="G40" s="77">
        <f t="shared" si="11"/>
        <v>0</v>
      </c>
      <c r="H40" s="77">
        <f t="shared" si="11"/>
        <v>573261068.38</v>
      </c>
      <c r="I40" s="77">
        <f t="shared" si="11"/>
        <v>810213525.92999995</v>
      </c>
      <c r="J40" s="77">
        <f t="shared" si="11"/>
        <v>1383474594.3099999</v>
      </c>
      <c r="K40" s="78">
        <f t="shared" si="11"/>
        <v>916570455.9000001</v>
      </c>
    </row>
    <row r="41" spans="1:11" x14ac:dyDescent="0.25">
      <c r="A41" s="79" t="s">
        <v>5</v>
      </c>
      <c r="B41" s="80">
        <v>2231768212</v>
      </c>
      <c r="C41" s="80">
        <v>-19956058.789999999</v>
      </c>
      <c r="D41" s="80">
        <f t="shared" si="2"/>
        <v>2211812153.21</v>
      </c>
      <c r="E41" s="80">
        <v>546879193.23000002</v>
      </c>
      <c r="F41" s="83"/>
      <c r="G41" s="83"/>
      <c r="H41" s="80">
        <f t="shared" si="3"/>
        <v>546879193.23000002</v>
      </c>
      <c r="I41" s="83">
        <f>+'Egresos por Dirección'!F4-'Detalle por Dirección'!H41</f>
        <v>801507610.3499999</v>
      </c>
      <c r="J41" s="80">
        <f t="shared" ref="J41:J45" si="12">+I41+H41</f>
        <v>1348386803.5799999</v>
      </c>
      <c r="K41" s="81">
        <f t="shared" si="4"/>
        <v>863425349.63000011</v>
      </c>
    </row>
    <row r="42" spans="1:11" ht="29.25" x14ac:dyDescent="0.25">
      <c r="A42" s="79" t="s">
        <v>12</v>
      </c>
      <c r="B42" s="80">
        <v>88232897</v>
      </c>
      <c r="C42" s="80">
        <v>0</v>
      </c>
      <c r="D42" s="80">
        <f t="shared" si="2"/>
        <v>88232897</v>
      </c>
      <c r="E42" s="80">
        <v>26381875.149999999</v>
      </c>
      <c r="F42" s="83"/>
      <c r="G42" s="83"/>
      <c r="H42" s="80">
        <f t="shared" si="3"/>
        <v>26381875.149999999</v>
      </c>
      <c r="I42" s="83">
        <f>+'Egresos por Dirección'!F8-'Detalle por Dirección'!H42</f>
        <v>8705915.5799999982</v>
      </c>
      <c r="J42" s="80">
        <f t="shared" si="12"/>
        <v>35087790.729999997</v>
      </c>
      <c r="K42" s="81">
        <f t="shared" si="4"/>
        <v>53145106.270000003</v>
      </c>
    </row>
    <row r="43" spans="1:11" ht="30" x14ac:dyDescent="0.25">
      <c r="A43" s="82" t="s">
        <v>646</v>
      </c>
      <c r="B43" s="84">
        <f>+B44+B45</f>
        <v>1180355000</v>
      </c>
      <c r="C43" s="84">
        <f t="shared" ref="C43:K43" si="13">+C44+C45</f>
        <v>2456058.79</v>
      </c>
      <c r="D43" s="84">
        <f t="shared" si="13"/>
        <v>1182811058.79</v>
      </c>
      <c r="E43" s="84">
        <f t="shared" si="13"/>
        <v>272476813.65999997</v>
      </c>
      <c r="F43" s="84">
        <f t="shared" si="13"/>
        <v>0</v>
      </c>
      <c r="G43" s="84">
        <f t="shared" si="13"/>
        <v>0</v>
      </c>
      <c r="H43" s="84">
        <f t="shared" si="13"/>
        <v>272476813.65999997</v>
      </c>
      <c r="I43" s="84">
        <f t="shared" si="13"/>
        <v>405175857.88000005</v>
      </c>
      <c r="J43" s="84">
        <f t="shared" si="13"/>
        <v>677652671.54000008</v>
      </c>
      <c r="K43" s="78">
        <f t="shared" si="13"/>
        <v>505158387.24999994</v>
      </c>
    </row>
    <row r="44" spans="1:11" x14ac:dyDescent="0.25">
      <c r="A44" s="79" t="s">
        <v>5</v>
      </c>
      <c r="B44" s="80">
        <v>1101349000</v>
      </c>
      <c r="C44" s="80">
        <v>2456058.79</v>
      </c>
      <c r="D44" s="80">
        <f t="shared" ref="D44:D45" si="14">+B44+C44</f>
        <v>1103805058.79</v>
      </c>
      <c r="E44" s="80">
        <v>271139793.13999999</v>
      </c>
      <c r="F44" s="83"/>
      <c r="G44" s="83"/>
      <c r="H44" s="80">
        <f t="shared" si="3"/>
        <v>271139793.13999999</v>
      </c>
      <c r="I44" s="83">
        <f>+'Egresos por Dirección'!G4-'Detalle por Dirección'!H44</f>
        <v>399133759.71000004</v>
      </c>
      <c r="J44" s="80">
        <f t="shared" si="12"/>
        <v>670273552.85000002</v>
      </c>
      <c r="K44" s="81">
        <f t="shared" si="4"/>
        <v>433531505.93999994</v>
      </c>
    </row>
    <row r="45" spans="1:11" ht="29.25" x14ac:dyDescent="0.25">
      <c r="A45" s="79" t="s">
        <v>12</v>
      </c>
      <c r="B45" s="80">
        <v>79006000</v>
      </c>
      <c r="C45" s="80">
        <v>0</v>
      </c>
      <c r="D45" s="80">
        <f t="shared" si="14"/>
        <v>79006000</v>
      </c>
      <c r="E45" s="83">
        <v>1337020.52</v>
      </c>
      <c r="F45" s="83"/>
      <c r="G45" s="83"/>
      <c r="H45" s="80">
        <f t="shared" si="3"/>
        <v>1337020.52</v>
      </c>
      <c r="I45" s="83">
        <f>+'Egresos por Dirección'!G8-'Detalle por Dirección'!H45</f>
        <v>6042098.1699999999</v>
      </c>
      <c r="J45" s="80">
        <f t="shared" si="12"/>
        <v>7379118.6899999995</v>
      </c>
      <c r="K45" s="81">
        <f t="shared" si="4"/>
        <v>71626881.310000002</v>
      </c>
    </row>
    <row r="46" spans="1:11" x14ac:dyDescent="0.25">
      <c r="A46" s="85"/>
      <c r="B46" s="83"/>
      <c r="C46" s="83"/>
      <c r="D46" s="83"/>
      <c r="E46" s="83"/>
      <c r="F46" s="83"/>
      <c r="G46" s="83"/>
      <c r="H46" s="83"/>
      <c r="I46" s="83"/>
      <c r="J46" s="83"/>
      <c r="K46" s="86"/>
    </row>
    <row r="47" spans="1:11" x14ac:dyDescent="0.25">
      <c r="A47" s="85"/>
      <c r="B47" s="83"/>
      <c r="C47" s="83"/>
      <c r="D47" s="83"/>
      <c r="E47" s="83"/>
      <c r="F47" s="83"/>
      <c r="G47" s="83"/>
      <c r="H47" s="83"/>
      <c r="I47" s="83"/>
      <c r="J47" s="83"/>
      <c r="K47" s="86"/>
    </row>
    <row r="48" spans="1:11" ht="15.75" thickBot="1" x14ac:dyDescent="0.3">
      <c r="A48" s="87" t="s">
        <v>38</v>
      </c>
      <c r="B48" s="88">
        <f>+B33+B25+B17+B10+B40+B43</f>
        <v>6323851354</v>
      </c>
      <c r="C48" s="88">
        <f>+C33+C25+C17+C10+C40+C43</f>
        <v>0</v>
      </c>
      <c r="D48" s="88">
        <f>+D33+D25+D17+D10+D40+D43</f>
        <v>6323851354</v>
      </c>
      <c r="E48" s="88">
        <f t="shared" ref="E48:K48" si="15">+E33+E25+E17+E10+E40+E43</f>
        <v>1093204250.1199999</v>
      </c>
      <c r="F48" s="88">
        <f t="shared" si="15"/>
        <v>0</v>
      </c>
      <c r="G48" s="88">
        <f t="shared" si="15"/>
        <v>0</v>
      </c>
      <c r="H48" s="88">
        <f t="shared" si="15"/>
        <v>1093204250.1199999</v>
      </c>
      <c r="I48" s="88">
        <f t="shared" si="15"/>
        <v>2181030191.0300002</v>
      </c>
      <c r="J48" s="88">
        <f t="shared" si="15"/>
        <v>3274234441.1500001</v>
      </c>
      <c r="K48" s="88">
        <f t="shared" si="15"/>
        <v>3049616912.8499999</v>
      </c>
    </row>
    <row r="50" spans="2:5" x14ac:dyDescent="0.25">
      <c r="B50" s="2"/>
      <c r="E50" s="2"/>
    </row>
    <row r="52" spans="2:5" x14ac:dyDescent="0.25">
      <c r="C52" s="2"/>
    </row>
    <row r="53" spans="2:5" x14ac:dyDescent="0.25">
      <c r="C53" s="2"/>
    </row>
    <row r="56" spans="2:5" x14ac:dyDescent="0.25">
      <c r="C56" s="2"/>
    </row>
    <row r="59" spans="2:5" x14ac:dyDescent="0.25">
      <c r="C59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027447-f4c7-45ea-a03c-f90f23bc7a52">
      <Terms xmlns="http://schemas.microsoft.com/office/infopath/2007/PartnerControls"/>
    </lcf76f155ced4ddcb4097134ff3c332f>
    <TaxCatchAll xmlns="dbb9e94c-2a44-4557-8076-c13b38405f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C1C67-C07C-45D8-AFA7-BAE990F860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224EF-CDB4-4CCB-90EE-2F5B893F32A7}">
  <ds:schemaRefs>
    <ds:schemaRef ds:uri="http://schemas.microsoft.com/office/infopath/2007/PartnerControls"/>
    <ds:schemaRef ds:uri="http://purl.org/dc/dcmitype/"/>
    <ds:schemaRef ds:uri="875d76bc-7aeb-436b-889b-d35493aa51c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B69827-A376-4FC4-9A9D-9F4976AFD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clasificador economico</vt:lpstr>
      <vt:lpstr>Peso de egresos por Partida</vt:lpstr>
      <vt:lpstr>Comparativo de egresos</vt:lpstr>
      <vt:lpstr>Gastos por Unidad</vt:lpstr>
      <vt:lpstr>Gastos por partida</vt:lpstr>
      <vt:lpstr>Egresos por Dirección</vt:lpstr>
      <vt:lpstr>Gastos detallado</vt:lpstr>
      <vt:lpstr>Nivel de Partida</vt:lpstr>
      <vt:lpstr>Detalle por Dirección</vt:lpstr>
      <vt:lpstr>Balance de Situación</vt:lpstr>
      <vt:lpstr>Rendimiento Financiero</vt:lpstr>
      <vt:lpstr>Hoja3</vt:lpstr>
      <vt:lpstr>Inversiones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 IV Trimestre 202019</dc:title>
  <dc:creator>Alejandro Mora Mora</dc:creator>
  <cp:lastModifiedBy>Ingrid Cruz Bermúdez</cp:lastModifiedBy>
  <cp:lastPrinted>2019-10-21T16:16:14Z</cp:lastPrinted>
  <dcterms:created xsi:type="dcterms:W3CDTF">2019-04-05T16:41:40Z</dcterms:created>
  <dcterms:modified xsi:type="dcterms:W3CDTF">2023-03-29T19:24:20Z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0x010100932AA7D14D6CFC43AFC242EA407FA27D</vt:lpwstr>
  </property>
  <property fmtid="{D5CDD505-2E9C-101B-9397-08002B2CF9AE}" pid="3" name="Order">
    <vt:r8>25400</vt:r8>
  </property>
  <property fmtid="{D5CDD505-2E9C-101B-9397-08002B2CF9AE}" pid="4" name="Título">
    <vt:lpwstr>Ejecución presupuestaria IV Trimestre 202019</vt:lpwstr>
  </property>
  <property fmtid="{D5CDD505-2E9C-101B-9397-08002B2CF9AE}" pid="5" name="MediaServiceImageTags">
    <vt:lpwstr/>
  </property>
</Properties>
</file>